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7965" firstSheet="4" activeTab="4"/>
  </bookViews>
  <sheets>
    <sheet name="Hoja1" sheetId="1" state="hidden" r:id="rId1"/>
    <sheet name="Hoja1 (2)" sheetId="2" state="hidden" r:id="rId2"/>
    <sheet name="Hoja2" sheetId="3" state="hidden" r:id="rId3"/>
    <sheet name="Hoja3" sheetId="4" state="hidden" r:id="rId4"/>
    <sheet name="Datos" sheetId="5" r:id="rId5"/>
    <sheet name="Liquidación" sheetId="6" r:id="rId6"/>
  </sheets>
  <definedNames>
    <definedName name="_xlfn.IFERROR" hidden="1">#NAME?</definedName>
    <definedName name="_xlfn.NETWORKDAYS.INTL" hidden="1">#NAME?</definedName>
    <definedName name="_xlnm.Print_Area" localSheetId="0">'Hoja1'!$A$1:$M$68</definedName>
    <definedName name="_xlnm.Print_Area" localSheetId="1">'Hoja1 (2)'!$A$1:$M$77</definedName>
    <definedName name="_xlnm.Print_Area" localSheetId="5">'Liquidación'!$A$1:$M$79</definedName>
    <definedName name="PENSION" localSheetId="1">'Hoja1 (2)'!$O$5:$O$9</definedName>
    <definedName name="PENSIONES" localSheetId="1">'Hoja1 (2)'!$O$5:$P$9</definedName>
    <definedName name="TIPOPENSION">'Datos'!$A$20:$B$26</definedName>
  </definedNames>
  <calcPr fullCalcOnLoad="1"/>
</workbook>
</file>

<file path=xl/comments2.xml><?xml version="1.0" encoding="utf-8"?>
<comments xmlns="http://schemas.openxmlformats.org/spreadsheetml/2006/main">
  <authors>
    <author>XP</author>
  </authors>
  <commentList>
    <comment ref="Q51" authorId="0">
      <text>
        <r>
          <rPr>
            <b/>
            <sz val="8"/>
            <rFont val="Tahoma"/>
            <family val="2"/>
          </rPr>
          <t>XP:</t>
        </r>
        <r>
          <rPr>
            <sz val="8"/>
            <rFont val="Tahoma"/>
            <family val="2"/>
          </rPr>
          <t xml:space="preserve">
2 DIAS DE VACACIONES ACUMULADAS</t>
        </r>
      </text>
    </comment>
  </commentList>
</comments>
</file>

<file path=xl/comments5.xml><?xml version="1.0" encoding="utf-8"?>
<comments xmlns="http://schemas.openxmlformats.org/spreadsheetml/2006/main">
  <authors>
    <author>Luffi</author>
  </authors>
  <commentList>
    <comment ref="B11" authorId="0">
      <text>
        <r>
          <rPr>
            <sz val="9"/>
            <rFont val="Tahoma"/>
            <family val="0"/>
          </rPr>
          <t xml:space="preserve">Si es Obrero registrar jornal por día
</t>
        </r>
      </text>
    </comment>
    <comment ref="B12" authorId="0">
      <text>
        <r>
          <rPr>
            <sz val="9"/>
            <rFont val="Tahoma"/>
            <family val="0"/>
          </rPr>
          <t xml:space="preserve">Si es empleado ingresar remuneración
</t>
        </r>
      </text>
    </comment>
    <comment ref="B14" authorId="0">
      <text>
        <r>
          <rPr>
            <sz val="9"/>
            <rFont val="Tahoma"/>
            <family val="2"/>
          </rPr>
          <t>Ingresar promedio de Bonificaciones</t>
        </r>
      </text>
    </comment>
    <comment ref="B15" authorId="0">
      <text>
        <r>
          <rPr>
            <sz val="9"/>
            <rFont val="Tahoma"/>
            <family val="2"/>
          </rPr>
          <t xml:space="preserve">Ingresar promedio de Horas Extras
</t>
        </r>
      </text>
    </comment>
  </commentList>
</comments>
</file>

<file path=xl/sharedStrings.xml><?xml version="1.0" encoding="utf-8"?>
<sst xmlns="http://schemas.openxmlformats.org/spreadsheetml/2006/main" count="439" uniqueCount="94">
  <si>
    <t>LIQUIDACIÓN DE BENEFICIOS SOCIALES</t>
  </si>
  <si>
    <t>Nombres y Apellidos</t>
  </si>
  <si>
    <t>Condición</t>
  </si>
  <si>
    <t>Categoría</t>
  </si>
  <si>
    <t>Motivo del Cese</t>
  </si>
  <si>
    <t>Fecha de Ingreso</t>
  </si>
  <si>
    <t>Fecha de Cese</t>
  </si>
  <si>
    <t>Períodos Liquidados</t>
  </si>
  <si>
    <t>Remuneración del mes</t>
  </si>
  <si>
    <t>Sueldo Básico</t>
  </si>
  <si>
    <t>Aumento AFP 3.30%</t>
  </si>
  <si>
    <t>Bonificación Voluntaria</t>
  </si>
  <si>
    <t>Asignación Familiar</t>
  </si>
  <si>
    <t>Horas Extras</t>
  </si>
  <si>
    <t>Promedio Gratificación</t>
  </si>
  <si>
    <t>COMPENSACIÓN POR TIEMPO DE SERVICIOS</t>
  </si>
  <si>
    <t>GRATIFICACIÓN TRUNCA</t>
  </si>
  <si>
    <t>VACACIONES TRUNCAS</t>
  </si>
  <si>
    <t>DESCUENTOS</t>
  </si>
  <si>
    <t>Otros</t>
  </si>
  <si>
    <t>Total Remuneración</t>
  </si>
  <si>
    <t>Fecha Inicio Calculo</t>
  </si>
  <si>
    <t>Días acumul</t>
  </si>
  <si>
    <t>Días Faltad</t>
  </si>
  <si>
    <t>Total días</t>
  </si>
  <si>
    <t>Años</t>
  </si>
  <si>
    <t>Meses</t>
  </si>
  <si>
    <t>Días</t>
  </si>
  <si>
    <t>Total Tiempo</t>
  </si>
  <si>
    <t>Liquidado</t>
  </si>
  <si>
    <t>Por liquidar</t>
  </si>
  <si>
    <t>Liquidación</t>
  </si>
  <si>
    <t>Faltas del período</t>
  </si>
  <si>
    <t>CTS</t>
  </si>
  <si>
    <t>Vac. - Grat.</t>
  </si>
  <si>
    <t>Sistema de Pensión</t>
  </si>
  <si>
    <t>ONP</t>
  </si>
  <si>
    <t>HORIZONTE</t>
  </si>
  <si>
    <t>INTEGRA</t>
  </si>
  <si>
    <t>PRIMA</t>
  </si>
  <si>
    <t>PROFUTURO</t>
  </si>
  <si>
    <t>Jornal</t>
  </si>
  <si>
    <t>Remunerac.</t>
  </si>
  <si>
    <t>Gratificación</t>
  </si>
  <si>
    <t>Total CTS</t>
  </si>
  <si>
    <t>Total Gratificación Trunca</t>
  </si>
  <si>
    <t>Total Vacaciones Truncas</t>
  </si>
  <si>
    <t>Total Descuentos</t>
  </si>
  <si>
    <t>…………………..</t>
  </si>
  <si>
    <t>TOTAL A PAGAR  ( 1 + 2 + 3 - 4 )</t>
  </si>
  <si>
    <t>SON:</t>
  </si>
  <si>
    <t>:</t>
  </si>
  <si>
    <t>Tiempo de Servicio</t>
  </si>
  <si>
    <t>Período por Liquidar</t>
  </si>
  <si>
    <t>Período de Liquidación</t>
  </si>
  <si>
    <t>Declaro  haber recibido a mi entera  satisfacción  la cantidad arriba indicada. Asimismo  manifiesto  que no tengo  ningún otro  beneficio  pendiente  por  recibir  de la empresa por cuya conformidad firmo la presente liquidación.</t>
  </si>
  <si>
    <t>EMPRESA</t>
  </si>
  <si>
    <t>Fecha de pago</t>
  </si>
  <si>
    <t>Lima,</t>
  </si>
  <si>
    <t>DNI Nº</t>
  </si>
  <si>
    <t>APORTES</t>
  </si>
  <si>
    <t>Essalud</t>
  </si>
  <si>
    <t>SCTR</t>
  </si>
  <si>
    <t>HUACHO LIMA AURELIO</t>
  </si>
  <si>
    <t>Inicio Periodo</t>
  </si>
  <si>
    <t>Meses acum</t>
  </si>
  <si>
    <t>Bonificación extraordinaria -  9%</t>
  </si>
  <si>
    <t>FF</t>
  </si>
  <si>
    <t>VACACIONES PENDIENTES</t>
  </si>
  <si>
    <t>FI</t>
  </si>
  <si>
    <t>Vacaciones acumuladas</t>
  </si>
  <si>
    <t>TOTAL A PAGAR  ( 1 + 2 + 3 + 4 - 5 )</t>
  </si>
  <si>
    <t>Asig. Familiar</t>
  </si>
  <si>
    <t>DATOS DEL EMPLEADO U OBRERO</t>
  </si>
  <si>
    <t>SISTEMA DE PENSIONES</t>
  </si>
  <si>
    <t>Fecha de Pago</t>
  </si>
  <si>
    <t>Juan Alberto Perez Nones</t>
  </si>
  <si>
    <t>Empleado</t>
  </si>
  <si>
    <t>Contratado</t>
  </si>
  <si>
    <t>Renuncia Voluntaria</t>
  </si>
  <si>
    <t>Gratificación (1 Sexto)</t>
  </si>
  <si>
    <t>Vacaciones Pendientes</t>
  </si>
  <si>
    <t>Vacaciones Truncas</t>
  </si>
  <si>
    <t>Gratificación Trunca</t>
  </si>
  <si>
    <t>02345678</t>
  </si>
  <si>
    <t>DETALLE DE CALCULO</t>
  </si>
  <si>
    <t>Faltas</t>
  </si>
  <si>
    <t>Total Días</t>
  </si>
  <si>
    <t>Neto Días</t>
  </si>
  <si>
    <t>Beneficio</t>
  </si>
  <si>
    <t>F. de Inicio</t>
  </si>
  <si>
    <t>F. Fin</t>
  </si>
  <si>
    <t>Ingresar datos en la celda de color</t>
  </si>
  <si>
    <t>Recal. Días Grati Trunc</t>
  </si>
</sst>
</file>

<file path=xl/styles.xml><?xml version="1.0" encoding="utf-8"?>
<styleSheet xmlns="http://schemas.openxmlformats.org/spreadsheetml/2006/main">
  <numFmts count="25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&quot;$&quot;* #,##0.00_ ;_ &quot;$&quot;* \-#,##0.00_ ;_ &quot;$&quot;* &quot;-&quot;??_ ;_ @_ 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280A]dddd\,\ dd&quot; de &quot;mmmm&quot; de &quot;yyyy"/>
    <numFmt numFmtId="175" formatCode="[$-280A]hh:mm:ss\ AM/PM"/>
    <numFmt numFmtId="176" formatCode="[$-280A]d&quot; de &quot;mmmm&quot; de &quot;yyyy;@"/>
    <numFmt numFmtId="177" formatCode="#,##0.00_ ;[Red]\-#,##0.00\ "/>
    <numFmt numFmtId="178" formatCode="[$-C0A]dddd\,\ dd&quot; de &quot;mmmm&quot; de &quot;yyyy"/>
    <numFmt numFmtId="179" formatCode="[$-409]hh:mm:ss\ AM/PM"/>
    <numFmt numFmtId="180" formatCode="0.0%"/>
  </numFmts>
  <fonts count="5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9"/>
      <name val="Tahoma"/>
      <family val="0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Calibri"/>
      <family val="0"/>
    </font>
    <font>
      <sz val="11"/>
      <color indexed="8"/>
      <name val="Calibri"/>
      <family val="0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Up"/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96">
    <xf numFmtId="0" fontId="0" fillId="0" borderId="0" xfId="0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0" fillId="10" borderId="0" xfId="0" applyFill="1" applyAlignment="1">
      <alignment/>
    </xf>
    <xf numFmtId="16" fontId="0" fillId="10" borderId="0" xfId="0" applyNumberFormat="1" applyFill="1" applyAlignment="1">
      <alignment/>
    </xf>
    <xf numFmtId="14" fontId="0" fillId="10" borderId="0" xfId="0" applyNumberFormat="1" applyFill="1" applyAlignment="1">
      <alignment/>
    </xf>
    <xf numFmtId="0" fontId="2" fillId="0" borderId="0" xfId="0" applyNumberFormat="1" applyFont="1" applyAlignment="1">
      <alignment horizontal="center"/>
    </xf>
    <xf numFmtId="0" fontId="4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50" fillId="0" borderId="0" xfId="0" applyFont="1" applyAlignment="1">
      <alignment horizontal="center"/>
    </xf>
    <xf numFmtId="14" fontId="47" fillId="0" borderId="0" xfId="0" applyNumberFormat="1" applyFont="1" applyAlignment="1">
      <alignment/>
    </xf>
    <xf numFmtId="43" fontId="47" fillId="0" borderId="0" xfId="46" applyFont="1" applyAlignment="1">
      <alignment/>
    </xf>
    <xf numFmtId="43" fontId="47" fillId="0" borderId="10" xfId="46" applyFont="1" applyBorder="1" applyAlignment="1">
      <alignment/>
    </xf>
    <xf numFmtId="176" fontId="0" fillId="0" borderId="0" xfId="0" applyNumberFormat="1" applyAlignment="1">
      <alignment/>
    </xf>
    <xf numFmtId="0" fontId="51" fillId="10" borderId="0" xfId="0" applyNumberFormat="1" applyFont="1" applyFill="1" applyAlignment="1">
      <alignment horizontal="center"/>
    </xf>
    <xf numFmtId="43" fontId="47" fillId="33" borderId="0" xfId="46" applyFont="1" applyFill="1" applyAlignment="1">
      <alignment/>
    </xf>
    <xf numFmtId="0" fontId="50" fillId="0" borderId="0" xfId="0" applyFont="1" applyAlignment="1">
      <alignment/>
    </xf>
    <xf numFmtId="9" fontId="50" fillId="0" borderId="0" xfId="0" applyNumberFormat="1" applyFont="1" applyAlignment="1">
      <alignment/>
    </xf>
    <xf numFmtId="10" fontId="50" fillId="0" borderId="0" xfId="0" applyNumberFormat="1" applyFont="1" applyAlignment="1">
      <alignment/>
    </xf>
    <xf numFmtId="0" fontId="47" fillId="0" borderId="11" xfId="0" applyFont="1" applyBorder="1" applyAlignment="1">
      <alignment horizontal="center"/>
    </xf>
    <xf numFmtId="43" fontId="47" fillId="0" borderId="0" xfId="0" applyNumberFormat="1" applyFont="1" applyAlignment="1">
      <alignment/>
    </xf>
    <xf numFmtId="43" fontId="47" fillId="0" borderId="11" xfId="46" applyFont="1" applyBorder="1" applyAlignment="1">
      <alignment/>
    </xf>
    <xf numFmtId="177" fontId="48" fillId="0" borderId="10" xfId="0" applyNumberFormat="1" applyFont="1" applyBorder="1" applyAlignment="1">
      <alignment/>
    </xf>
    <xf numFmtId="177" fontId="48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49" fontId="0" fillId="0" borderId="0" xfId="0" applyNumberFormat="1" applyAlignment="1">
      <alignment/>
    </xf>
    <xf numFmtId="0" fontId="48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right"/>
    </xf>
    <xf numFmtId="0" fontId="48" fillId="0" borderId="0" xfId="0" applyFont="1" applyAlignment="1">
      <alignment horizontal="right"/>
    </xf>
    <xf numFmtId="14" fontId="0" fillId="0" borderId="0" xfId="0" applyNumberFormat="1" applyAlignment="1">
      <alignment/>
    </xf>
    <xf numFmtId="10" fontId="47" fillId="0" borderId="0" xfId="0" applyNumberFormat="1" applyFont="1" applyAlignment="1">
      <alignment/>
    </xf>
    <xf numFmtId="0" fontId="46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43" fontId="0" fillId="0" borderId="0" xfId="0" applyNumberFormat="1" applyAlignment="1">
      <alignment/>
    </xf>
    <xf numFmtId="14" fontId="47" fillId="0" borderId="0" xfId="52" applyNumberFormat="1" applyFont="1">
      <alignment/>
      <protection/>
    </xf>
    <xf numFmtId="0" fontId="2" fillId="0" borderId="0" xfId="52" applyNumberFormat="1" applyFont="1" applyAlignment="1">
      <alignment horizontal="center"/>
      <protection/>
    </xf>
    <xf numFmtId="43" fontId="47" fillId="0" borderId="0" xfId="46" applyFont="1" applyBorder="1" applyAlignment="1">
      <alignment/>
    </xf>
    <xf numFmtId="0" fontId="47" fillId="0" borderId="0" xfId="52" applyFont="1">
      <alignment/>
      <protection/>
    </xf>
    <xf numFmtId="43" fontId="47" fillId="0" borderId="11" xfId="48" applyFont="1" applyBorder="1" applyAlignment="1">
      <alignment/>
    </xf>
    <xf numFmtId="0" fontId="0" fillId="0" borderId="0" xfId="52">
      <alignment/>
      <protection/>
    </xf>
    <xf numFmtId="43" fontId="47" fillId="0" borderId="0" xfId="52" applyNumberFormat="1" applyFont="1">
      <alignment/>
      <protection/>
    </xf>
    <xf numFmtId="0" fontId="48" fillId="0" borderId="12" xfId="52" applyFont="1" applyBorder="1">
      <alignment/>
      <protection/>
    </xf>
    <xf numFmtId="0" fontId="47" fillId="0" borderId="12" xfId="52" applyFont="1" applyBorder="1">
      <alignment/>
      <protection/>
    </xf>
    <xf numFmtId="0" fontId="0" fillId="0" borderId="12" xfId="52" applyBorder="1">
      <alignment/>
      <protection/>
    </xf>
    <xf numFmtId="0" fontId="0" fillId="0" borderId="0" xfId="52" applyAlignment="1">
      <alignment horizontal="right"/>
      <protection/>
    </xf>
    <xf numFmtId="14" fontId="0" fillId="10" borderId="0" xfId="52" applyNumberFormat="1" applyFill="1">
      <alignment/>
      <protection/>
    </xf>
    <xf numFmtId="0" fontId="51" fillId="10" borderId="0" xfId="52" applyNumberFormat="1" applyFont="1" applyFill="1" applyAlignment="1">
      <alignment horizontal="center"/>
      <protection/>
    </xf>
    <xf numFmtId="0" fontId="49" fillId="0" borderId="0" xfId="52" applyNumberFormat="1" applyFont="1" applyAlignment="1">
      <alignment horizontal="center"/>
      <protection/>
    </xf>
    <xf numFmtId="0" fontId="0" fillId="0" borderId="0" xfId="52" applyAlignment="1">
      <alignment horizontal="center"/>
      <protection/>
    </xf>
    <xf numFmtId="0" fontId="50" fillId="0" borderId="0" xfId="52" applyFont="1" applyAlignment="1">
      <alignment horizontal="center"/>
      <protection/>
    </xf>
    <xf numFmtId="43" fontId="47" fillId="0" borderId="0" xfId="48" applyFont="1" applyAlignment="1">
      <alignment/>
    </xf>
    <xf numFmtId="0" fontId="47" fillId="0" borderId="0" xfId="0" applyFont="1" applyAlignment="1">
      <alignment horizontal="justify" vertical="justify" wrapText="1"/>
    </xf>
    <xf numFmtId="176" fontId="47" fillId="0" borderId="0" xfId="0" applyNumberFormat="1" applyFont="1" applyAlignment="1">
      <alignment horizontal="left"/>
    </xf>
    <xf numFmtId="0" fontId="48" fillId="0" borderId="13" xfId="0" applyFont="1" applyBorder="1" applyAlignment="1">
      <alignment/>
    </xf>
    <xf numFmtId="0" fontId="52" fillId="34" borderId="13" xfId="0" applyFont="1" applyFill="1" applyBorder="1" applyAlignment="1">
      <alignment horizontal="centerContinuous"/>
    </xf>
    <xf numFmtId="0" fontId="0" fillId="34" borderId="13" xfId="0" applyFill="1" applyBorder="1" applyAlignment="1">
      <alignment horizontal="centerContinuous"/>
    </xf>
    <xf numFmtId="0" fontId="50" fillId="0" borderId="13" xfId="0" applyFont="1" applyBorder="1" applyAlignment="1">
      <alignment horizontal="center"/>
    </xf>
    <xf numFmtId="0" fontId="48" fillId="0" borderId="13" xfId="0" applyFont="1" applyFill="1" applyBorder="1" applyAlignment="1">
      <alignment/>
    </xf>
    <xf numFmtId="0" fontId="48" fillId="0" borderId="14" xfId="0" applyFont="1" applyFill="1" applyBorder="1" applyAlignment="1">
      <alignment/>
    </xf>
    <xf numFmtId="0" fontId="46" fillId="34" borderId="13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5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52" applyBorder="1">
      <alignment/>
      <protection/>
    </xf>
    <xf numFmtId="0" fontId="0" fillId="0" borderId="13" xfId="0" applyNumberForma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34" borderId="13" xfId="0" applyFont="1" applyFill="1" applyBorder="1" applyAlignment="1">
      <alignment horizontal="centerContinuous"/>
    </xf>
    <xf numFmtId="0" fontId="50" fillId="6" borderId="13" xfId="0" applyFont="1" applyFill="1" applyBorder="1" applyAlignment="1">
      <alignment/>
    </xf>
    <xf numFmtId="49" fontId="50" fillId="6" borderId="13" xfId="0" applyNumberFormat="1" applyFont="1" applyFill="1" applyBorder="1" applyAlignment="1">
      <alignment horizontal="center"/>
    </xf>
    <xf numFmtId="14" fontId="50" fillId="6" borderId="13" xfId="0" applyNumberFormat="1" applyFont="1" applyFill="1" applyBorder="1" applyAlignment="1">
      <alignment horizontal="center"/>
    </xf>
    <xf numFmtId="43" fontId="50" fillId="6" borderId="13" xfId="46" applyFont="1" applyFill="1" applyBorder="1" applyAlignment="1">
      <alignment/>
    </xf>
    <xf numFmtId="10" fontId="50" fillId="6" borderId="13" xfId="0" applyNumberFormat="1" applyFont="1" applyFill="1" applyBorder="1" applyAlignment="1">
      <alignment horizontal="center"/>
    </xf>
    <xf numFmtId="14" fontId="50" fillId="6" borderId="14" xfId="0" applyNumberFormat="1" applyFont="1" applyFill="1" applyBorder="1" applyAlignment="1">
      <alignment horizontal="center"/>
    </xf>
    <xf numFmtId="0" fontId="41" fillId="6" borderId="14" xfId="0" applyFont="1" applyFill="1" applyBorder="1" applyAlignment="1">
      <alignment horizontal="center"/>
    </xf>
    <xf numFmtId="0" fontId="41" fillId="6" borderId="13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6" borderId="13" xfId="0" applyFill="1" applyBorder="1" applyAlignment="1">
      <alignment/>
    </xf>
    <xf numFmtId="0" fontId="48" fillId="34" borderId="12" xfId="0" applyFont="1" applyFill="1" applyBorder="1" applyAlignment="1">
      <alignment/>
    </xf>
    <xf numFmtId="0" fontId="47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48" fillId="34" borderId="12" xfId="52" applyFont="1" applyFill="1" applyBorder="1">
      <alignment/>
      <protection/>
    </xf>
    <xf numFmtId="0" fontId="47" fillId="34" borderId="12" xfId="52" applyFont="1" applyFill="1" applyBorder="1">
      <alignment/>
      <protection/>
    </xf>
    <xf numFmtId="0" fontId="0" fillId="34" borderId="12" xfId="52" applyFill="1" applyBorder="1">
      <alignment/>
      <protection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47" fillId="0" borderId="0" xfId="0" applyFont="1" applyAlignment="1">
      <alignment horizontal="justify" vertical="justify" wrapText="1"/>
    </xf>
    <xf numFmtId="0" fontId="53" fillId="0" borderId="16" xfId="0" applyFont="1" applyBorder="1" applyAlignment="1">
      <alignment horizontal="center"/>
    </xf>
    <xf numFmtId="176" fontId="47" fillId="0" borderId="0" xfId="0" applyNumberFormat="1" applyFont="1" applyAlignment="1">
      <alignment horizontal="left"/>
    </xf>
    <xf numFmtId="0" fontId="46" fillId="34" borderId="17" xfId="0" applyFont="1" applyFill="1" applyBorder="1" applyAlignment="1">
      <alignment horizontal="center" vertical="center" wrapText="1"/>
    </xf>
    <xf numFmtId="0" fontId="46" fillId="34" borderId="18" xfId="0" applyFont="1" applyFill="1" applyBorder="1" applyAlignment="1">
      <alignment horizontal="center" vertical="center" wrapText="1"/>
    </xf>
    <xf numFmtId="0" fontId="46" fillId="34" borderId="13" xfId="0" applyFont="1" applyFill="1" applyBorder="1" applyAlignment="1">
      <alignment horizontal="center" vertical="center"/>
    </xf>
    <xf numFmtId="0" fontId="53" fillId="34" borderId="16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523875</xdr:colOff>
      <xdr:row>8</xdr:row>
      <xdr:rowOff>142875</xdr:rowOff>
    </xdr:from>
    <xdr:to>
      <xdr:col>12</xdr:col>
      <xdr:colOff>123825</xdr:colOff>
      <xdr:row>10</xdr:row>
      <xdr:rowOff>19050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34275" y="1771650"/>
          <a:ext cx="29718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266700</xdr:colOff>
      <xdr:row>48</xdr:row>
      <xdr:rowOff>66675</xdr:rowOff>
    </xdr:from>
    <xdr:to>
      <xdr:col>12</xdr:col>
      <xdr:colOff>666750</xdr:colOff>
      <xdr:row>50</xdr:row>
      <xdr:rowOff>161925</xdr:rowOff>
    </xdr:to>
    <xdr:sp>
      <xdr:nvSpPr>
        <xdr:cNvPr id="1" name="1 Rectángulo"/>
        <xdr:cNvSpPr>
          <a:spLocks/>
        </xdr:cNvSpPr>
      </xdr:nvSpPr>
      <xdr:spPr>
        <a:xfrm>
          <a:off x="3533775" y="9105900"/>
          <a:ext cx="3686175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Tener</a:t>
          </a:r>
          <a:r>
            <a:rPr lang="en-US" cap="none" sz="1100" b="0" i="0" u="none" baseline="0">
              <a:solidFill>
                <a:srgbClr val="FF0000"/>
              </a:solidFill>
            </a:rPr>
            <a:t> en cuenta que algunas Vacaciones Pendientes y No pagadas en su oportunidad, tienen una sobre tasa del 100%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 fPrintsWithSheet="0"/>
  </xdr:twoCellAnchor>
  <xdr:twoCellAnchor editAs="oneCell">
    <xdr:from>
      <xdr:col>7</xdr:col>
      <xdr:colOff>723900</xdr:colOff>
      <xdr:row>2</xdr:row>
      <xdr:rowOff>0</xdr:rowOff>
    </xdr:from>
    <xdr:to>
      <xdr:col>12</xdr:col>
      <xdr:colOff>409575</xdr:colOff>
      <xdr:row>3</xdr:row>
      <xdr:rowOff>76200</xdr:rowOff>
    </xdr:to>
    <xdr:pic>
      <xdr:nvPicPr>
        <xdr:cNvPr id="2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285750"/>
          <a:ext cx="29718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AR74"/>
  <sheetViews>
    <sheetView showGridLines="0" zoomScalePageLayoutView="0" workbookViewId="0" topLeftCell="C42">
      <selection activeCell="A1" sqref="A1:M1"/>
    </sheetView>
  </sheetViews>
  <sheetFormatPr defaultColWidth="11.421875" defaultRowHeight="12.75"/>
  <cols>
    <col min="1" max="1" width="3.421875" style="0" customWidth="1"/>
    <col min="3" max="3" width="9.00390625" style="0" customWidth="1"/>
    <col min="4" max="4" width="1.1484375" style="0" customWidth="1"/>
    <col min="6" max="6" width="1.1484375" style="0" customWidth="1"/>
    <col min="8" max="8" width="13.8515625" style="0" customWidth="1"/>
    <col min="9" max="9" width="1.1484375" style="0" customWidth="1"/>
    <col min="14" max="14" width="17.00390625" style="0" bestFit="1" customWidth="1"/>
    <col min="15" max="15" width="12.7109375" style="0" customWidth="1"/>
  </cols>
  <sheetData>
    <row r="1" spans="1:16" ht="15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O1" t="s">
        <v>41</v>
      </c>
      <c r="P1" s="3"/>
    </row>
    <row r="2" spans="15:16" ht="12.75">
      <c r="O2" t="s">
        <v>42</v>
      </c>
      <c r="P2" s="3">
        <v>6575</v>
      </c>
    </row>
    <row r="3" spans="1:16" ht="15.75">
      <c r="A3" s="1" t="s">
        <v>1</v>
      </c>
      <c r="D3" t="s">
        <v>51</v>
      </c>
      <c r="E3" t="s">
        <v>63</v>
      </c>
      <c r="O3" t="s">
        <v>43</v>
      </c>
      <c r="P3" s="3"/>
    </row>
    <row r="4" spans="1:16" ht="15.75">
      <c r="A4" s="1" t="s">
        <v>59</v>
      </c>
      <c r="D4" t="s">
        <v>51</v>
      </c>
      <c r="E4" s="25"/>
      <c r="H4" s="31"/>
      <c r="P4" s="3"/>
    </row>
    <row r="5" spans="1:16" ht="15.75">
      <c r="A5" s="1" t="s">
        <v>2</v>
      </c>
      <c r="B5" s="1"/>
      <c r="C5" s="1"/>
      <c r="D5" t="s">
        <v>51</v>
      </c>
      <c r="E5" s="1"/>
      <c r="F5" s="1"/>
      <c r="G5" s="1"/>
      <c r="H5" s="31"/>
      <c r="O5" s="16" t="s">
        <v>36</v>
      </c>
      <c r="P5" s="17">
        <v>0.13</v>
      </c>
    </row>
    <row r="6" spans="1:16" ht="15.75">
      <c r="A6" s="1" t="s">
        <v>3</v>
      </c>
      <c r="B6" s="1"/>
      <c r="C6" s="1"/>
      <c r="D6" t="s">
        <v>51</v>
      </c>
      <c r="E6" s="1"/>
      <c r="F6" s="1"/>
      <c r="G6" s="1"/>
      <c r="H6" s="31"/>
      <c r="O6" s="16" t="s">
        <v>37</v>
      </c>
      <c r="P6" s="18">
        <v>0.1306</v>
      </c>
    </row>
    <row r="7" spans="1:16" ht="15.75">
      <c r="A7" s="1" t="s">
        <v>4</v>
      </c>
      <c r="B7" s="1"/>
      <c r="C7" s="1"/>
      <c r="D7" t="s">
        <v>51</v>
      </c>
      <c r="E7" s="1"/>
      <c r="F7" s="1"/>
      <c r="G7" s="1"/>
      <c r="O7" s="16" t="s">
        <v>38</v>
      </c>
      <c r="P7" s="18">
        <v>0.1283</v>
      </c>
    </row>
    <row r="8" spans="1:16" ht="15.75">
      <c r="A8" s="1" t="s">
        <v>5</v>
      </c>
      <c r="B8" s="1"/>
      <c r="C8" s="1"/>
      <c r="D8" t="s">
        <v>51</v>
      </c>
      <c r="E8" s="37">
        <v>41017</v>
      </c>
      <c r="F8" s="10"/>
      <c r="G8" s="1"/>
      <c r="O8" s="16" t="s">
        <v>39</v>
      </c>
      <c r="P8" s="18">
        <v>0.1281</v>
      </c>
    </row>
    <row r="9" spans="1:16" ht="15.75">
      <c r="A9" s="1" t="s">
        <v>6</v>
      </c>
      <c r="B9" s="1"/>
      <c r="C9" s="1"/>
      <c r="D9" t="s">
        <v>51</v>
      </c>
      <c r="E9" s="37">
        <v>41111</v>
      </c>
      <c r="F9" s="37"/>
      <c r="G9" s="37"/>
      <c r="O9" s="16" t="s">
        <v>40</v>
      </c>
      <c r="P9" s="18">
        <v>0.1356</v>
      </c>
    </row>
    <row r="10" spans="1:7" ht="15.75">
      <c r="A10" s="1" t="s">
        <v>35</v>
      </c>
      <c r="B10" s="1"/>
      <c r="C10" s="1"/>
      <c r="D10" t="s">
        <v>51</v>
      </c>
      <c r="E10" s="10" t="s">
        <v>37</v>
      </c>
      <c r="F10" s="10"/>
      <c r="G10" s="10"/>
    </row>
    <row r="11" spans="1:16" ht="15.75">
      <c r="A11" s="1" t="s">
        <v>8</v>
      </c>
      <c r="B11" s="1"/>
      <c r="C11" s="1"/>
      <c r="D11" s="1"/>
      <c r="E11" s="19" t="s">
        <v>33</v>
      </c>
      <c r="F11" s="19"/>
      <c r="G11" s="19" t="s">
        <v>34</v>
      </c>
      <c r="O11" s="16" t="s">
        <v>57</v>
      </c>
      <c r="P11" s="4">
        <v>40513</v>
      </c>
    </row>
    <row r="12" spans="1:15" ht="15.75">
      <c r="A12" s="1"/>
      <c r="B12" s="1" t="s">
        <v>9</v>
      </c>
      <c r="C12" s="1"/>
      <c r="D12" t="s">
        <v>51</v>
      </c>
      <c r="E12" s="11">
        <f>IF(P1&gt;0,P1*30,P2)</f>
        <v>6575</v>
      </c>
      <c r="F12" s="11"/>
      <c r="G12" s="11">
        <f aca="true" t="shared" si="0" ref="G12:G17">E12</f>
        <v>6575</v>
      </c>
      <c r="N12" s="13"/>
      <c r="O12" s="16" t="s">
        <v>64</v>
      </c>
    </row>
    <row r="13" spans="1:7" ht="15.75">
      <c r="A13" s="1"/>
      <c r="B13" s="1" t="s">
        <v>10</v>
      </c>
      <c r="C13" s="1"/>
      <c r="D13" t="s">
        <v>51</v>
      </c>
      <c r="E13" s="11"/>
      <c r="F13" s="11"/>
      <c r="G13" s="11">
        <f t="shared" si="0"/>
        <v>0</v>
      </c>
    </row>
    <row r="14" spans="1:7" ht="15.75">
      <c r="A14" s="1"/>
      <c r="B14" s="1" t="s">
        <v>11</v>
      </c>
      <c r="C14" s="1"/>
      <c r="D14" t="s">
        <v>51</v>
      </c>
      <c r="E14" s="11"/>
      <c r="F14" s="11"/>
      <c r="G14" s="11">
        <f t="shared" si="0"/>
        <v>0</v>
      </c>
    </row>
    <row r="15" spans="1:7" ht="15.75">
      <c r="A15" s="1"/>
      <c r="B15" s="1" t="s">
        <v>12</v>
      </c>
      <c r="C15" s="1"/>
      <c r="D15" t="s">
        <v>51</v>
      </c>
      <c r="E15" s="11"/>
      <c r="F15" s="11"/>
      <c r="G15" s="11">
        <f t="shared" si="0"/>
        <v>0</v>
      </c>
    </row>
    <row r="16" spans="1:7" ht="15.75">
      <c r="A16" s="1"/>
      <c r="B16" s="1" t="s">
        <v>13</v>
      </c>
      <c r="C16" s="1"/>
      <c r="D16" t="s">
        <v>51</v>
      </c>
      <c r="E16" s="11"/>
      <c r="F16" s="11"/>
      <c r="G16" s="11">
        <f t="shared" si="0"/>
        <v>0</v>
      </c>
    </row>
    <row r="17" spans="1:7" ht="15.75">
      <c r="A17" s="1"/>
      <c r="B17" s="1" t="s">
        <v>19</v>
      </c>
      <c r="C17" s="32"/>
      <c r="D17" t="s">
        <v>51</v>
      </c>
      <c r="E17" s="11"/>
      <c r="F17" s="11"/>
      <c r="G17" s="11">
        <f t="shared" si="0"/>
        <v>0</v>
      </c>
    </row>
    <row r="18" spans="1:7" ht="15.75">
      <c r="A18" s="1"/>
      <c r="B18" s="1" t="s">
        <v>14</v>
      </c>
      <c r="C18" s="32"/>
      <c r="D18" t="s">
        <v>51</v>
      </c>
      <c r="E18" s="11">
        <f>IF(P3&gt;0,P3/6,0)</f>
        <v>0</v>
      </c>
      <c r="F18" s="11"/>
      <c r="G18" s="15"/>
    </row>
    <row r="19" spans="1:21" ht="16.5" thickBot="1">
      <c r="A19" s="1"/>
      <c r="B19" s="1" t="s">
        <v>20</v>
      </c>
      <c r="C19" s="32"/>
      <c r="D19" s="1"/>
      <c r="E19" s="12">
        <f>SUM(E12:E18)</f>
        <v>6575</v>
      </c>
      <c r="F19" s="12"/>
      <c r="G19" s="12">
        <f>SUM(G12:G17)</f>
        <v>6575</v>
      </c>
      <c r="U19" s="8"/>
    </row>
    <row r="20" spans="15:44" ht="13.5" thickTop="1">
      <c r="O20" t="s">
        <v>21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5.75">
      <c r="A21" s="26">
        <v>1</v>
      </c>
      <c r="B21" s="26" t="s">
        <v>15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O21" s="5">
        <v>41030</v>
      </c>
      <c r="P21" t="s">
        <v>65</v>
      </c>
      <c r="Q21" t="s">
        <v>22</v>
      </c>
      <c r="R21" t="s">
        <v>23</v>
      </c>
      <c r="S21" t="s">
        <v>24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5.75">
      <c r="B22" s="2"/>
      <c r="C22" s="1" t="s">
        <v>52</v>
      </c>
      <c r="D22" s="1"/>
      <c r="E22" s="1"/>
      <c r="F22" t="s">
        <v>51</v>
      </c>
      <c r="G22" s="1" t="str">
        <f>CONCATENATE(P24,IF(P24=1," año, "," años, "),Q24,IF(Q24=1," mes, "," meses, "),ROUND(R24,0),IF(ROUND(R24,0)=1," día. "," días."))</f>
        <v>0 años, 3 meses, 3 días.</v>
      </c>
      <c r="H22" s="1"/>
      <c r="I22" s="1"/>
      <c r="J22" s="1"/>
      <c r="K22" s="1"/>
      <c r="L22" s="1"/>
      <c r="P22" s="6">
        <f>DATEDIF(O21,E9,"M")</f>
        <v>2</v>
      </c>
      <c r="Q22" s="38">
        <f>DAYS360(O21,E9)+1</f>
        <v>81</v>
      </c>
      <c r="R22" s="14"/>
      <c r="S22" s="7">
        <f>Q22-R22</f>
        <v>81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5.75">
      <c r="B23" s="2"/>
      <c r="C23" s="1" t="s">
        <v>7</v>
      </c>
      <c r="D23" s="1"/>
      <c r="E23" s="1"/>
      <c r="F23" t="s">
        <v>51</v>
      </c>
      <c r="G23" s="1" t="str">
        <f>CONCATENATE(P25,IF(P25=1," año, "," años, "),Q25,IF(Q25=1," mes, "," meses, "),ROUND(R25,0),IF(ROUND(R25,0)=1," día. "," días."))</f>
        <v>0 años, 0 meses, 12 días.</v>
      </c>
      <c r="H23" s="1"/>
      <c r="I23" s="1"/>
      <c r="J23" s="1"/>
      <c r="K23" s="1"/>
      <c r="L23" s="1"/>
      <c r="P23" s="8" t="s">
        <v>25</v>
      </c>
      <c r="Q23" s="8" t="s">
        <v>26</v>
      </c>
      <c r="R23" s="8" t="s">
        <v>27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2:21" ht="15.75">
      <c r="B24" s="1"/>
      <c r="C24" s="1" t="s">
        <v>53</v>
      </c>
      <c r="D24" s="1"/>
      <c r="E24" s="1"/>
      <c r="F24" t="s">
        <v>51</v>
      </c>
      <c r="G24" s="1" t="str">
        <f>CONCATENATE(P26,IF(P26=1," año, "," años, "),Q26,IF(Q26=1," mes, "," meses, "),ROUND(R26,0),IF(ROUND(R26,0)=1," día. "," días."))</f>
        <v>0 años, 2 meses, 21 días.</v>
      </c>
      <c r="H24" s="1"/>
      <c r="I24" s="1"/>
      <c r="J24" s="1"/>
      <c r="K24" s="1"/>
      <c r="L24" s="1"/>
      <c r="O24" t="s">
        <v>28</v>
      </c>
      <c r="P24" s="9">
        <f>INT(IF(S24&gt;360,S24/360,0))</f>
        <v>0</v>
      </c>
      <c r="Q24" s="9">
        <f>INT((S24/30)-(12*P24))</f>
        <v>3</v>
      </c>
      <c r="R24" s="9">
        <f>((S24/30)-INT(S24/30))*30</f>
        <v>3.0000000000000027</v>
      </c>
      <c r="S24" s="38">
        <f>DAYS360(E8,E9)</f>
        <v>93</v>
      </c>
      <c r="T24" s="6">
        <f>DATEDIF(E8,E9,"M")+1</f>
        <v>4</v>
      </c>
      <c r="U24" s="8"/>
    </row>
    <row r="25" spans="2:21" ht="15.75">
      <c r="B25" s="1"/>
      <c r="C25" s="32" t="s">
        <v>32</v>
      </c>
      <c r="D25" s="1"/>
      <c r="E25" s="1"/>
      <c r="F25" t="s">
        <v>51</v>
      </c>
      <c r="G25" s="1" t="str">
        <f>CONCATENATE(R22,IF(R22=1," día."," días."))</f>
        <v> días.</v>
      </c>
      <c r="H25" s="1"/>
      <c r="I25" s="1"/>
      <c r="J25" s="1"/>
      <c r="K25" s="1"/>
      <c r="L25" s="1"/>
      <c r="O25" t="s">
        <v>29</v>
      </c>
      <c r="P25" s="9">
        <f>INT(IF(S25&gt;360,S25/360,0))</f>
        <v>0</v>
      </c>
      <c r="Q25" s="9">
        <f>INT((S25/30)-(12*P25))</f>
        <v>0</v>
      </c>
      <c r="R25" s="9">
        <f>((S25/30)-INT(S25/30))*30</f>
        <v>12</v>
      </c>
      <c r="S25" s="6">
        <f>S24-Q22</f>
        <v>12</v>
      </c>
      <c r="U25" s="8"/>
    </row>
    <row r="26" spans="2:19" ht="15.75">
      <c r="B26" s="1"/>
      <c r="C26" s="32" t="s">
        <v>54</v>
      </c>
      <c r="D26" s="1"/>
      <c r="E26" s="1"/>
      <c r="F26" t="s">
        <v>51</v>
      </c>
      <c r="G26" s="1" t="str">
        <f>CONCATENATE(P27,IF(P27=1," año, "," años, "),Q27,IF(Q27=1," mes, "," meses, "),ROUND(R27,0),IF(ROUND(R27,0)=1," día. "," días."))</f>
        <v>0 años, 2 meses, 21 días.</v>
      </c>
      <c r="H26" s="1"/>
      <c r="I26" s="1"/>
      <c r="J26" s="1"/>
      <c r="K26" s="1"/>
      <c r="L26" s="1"/>
      <c r="O26" t="s">
        <v>30</v>
      </c>
      <c r="P26" s="9">
        <f>INT(IF(S22&gt;360,S22/360,0))</f>
        <v>0</v>
      </c>
      <c r="Q26" s="9">
        <f>INT((Q22/30)-(12*P26))</f>
        <v>2</v>
      </c>
      <c r="R26" s="9">
        <f>((Q22/30)-INT(Q22/30))*30</f>
        <v>21.000000000000007</v>
      </c>
      <c r="S26" s="6"/>
    </row>
    <row r="27" spans="2:18" ht="15.75">
      <c r="B27" s="1"/>
      <c r="C27" s="32" t="str">
        <f>CONCATENATE("Del   ",TEXT(O21,"dd/mmmm/aaaa"),"   al   ",TEXT(E9,"dd/mmmm/aaaa"))</f>
        <v>Del   01/mayo/martes   al   21/julio/sábado</v>
      </c>
      <c r="D27" s="1"/>
      <c r="E27" s="1"/>
      <c r="F27" s="1"/>
      <c r="G27" s="1"/>
      <c r="H27" s="1"/>
      <c r="I27" s="1"/>
      <c r="J27" s="1"/>
      <c r="K27" s="1"/>
      <c r="L27" s="1"/>
      <c r="O27" t="s">
        <v>31</v>
      </c>
      <c r="P27" s="9">
        <f>INT(IF(S22&gt;360,S22/360,0))</f>
        <v>0</v>
      </c>
      <c r="Q27" s="9">
        <f>IF(S22&gt;0,INT((S22/30)-(12*P27)),0)</f>
        <v>2</v>
      </c>
      <c r="R27" s="9">
        <f>IF(S22&gt;0,((S22/30)-INT(S22/30))*30,0)</f>
        <v>21.000000000000007</v>
      </c>
    </row>
    <row r="28" spans="2:12" ht="15.75">
      <c r="B28" s="1"/>
      <c r="E28" s="1" t="s">
        <v>26</v>
      </c>
      <c r="F28" t="s">
        <v>51</v>
      </c>
      <c r="G28" s="1" t="str">
        <f>CONCATENATE(TEXT(E19,"##,##0.00"),"  /  12  x  ",Q27)</f>
        <v>6,575.00  /  12  x  2</v>
      </c>
      <c r="I28" t="s">
        <v>51</v>
      </c>
      <c r="J28" s="11">
        <f>IF(E19&gt;0,(E19/12)*Q27,0)</f>
        <v>1095.8333333333333</v>
      </c>
      <c r="K28" s="1"/>
      <c r="L28" s="1"/>
    </row>
    <row r="29" spans="2:12" ht="15.75">
      <c r="B29" s="1"/>
      <c r="E29" s="1" t="s">
        <v>27</v>
      </c>
      <c r="F29" t="s">
        <v>51</v>
      </c>
      <c r="G29" s="1" t="str">
        <f>CONCATENATE(TEXT(E19,"##,##0.00"),"  /  12  /  30  x  ",R27)</f>
        <v>6,575.00  /  12  /  30  x  21</v>
      </c>
      <c r="H29" s="1"/>
      <c r="I29" t="s">
        <v>51</v>
      </c>
      <c r="J29" s="21">
        <f>IF(E19&gt;0,((E19/12)/30)*R27,0)</f>
        <v>383.5416666666668</v>
      </c>
      <c r="K29" s="1"/>
      <c r="L29" s="1"/>
    </row>
    <row r="30" spans="2:12" ht="15.75">
      <c r="B30" s="1"/>
      <c r="E30" s="1" t="s">
        <v>44</v>
      </c>
      <c r="F30" s="1"/>
      <c r="G30" s="1"/>
      <c r="H30" s="1"/>
      <c r="I30" s="1"/>
      <c r="J30" s="20">
        <f>SUM(J28:J29)</f>
        <v>1479.375</v>
      </c>
      <c r="K30" s="1"/>
      <c r="L30" s="1"/>
    </row>
    <row r="31" spans="2:12" ht="6.75" customHeight="1">
      <c r="B31" s="1"/>
      <c r="E31" s="1"/>
      <c r="F31" s="1"/>
      <c r="G31" s="1"/>
      <c r="H31" s="1"/>
      <c r="I31" s="1"/>
      <c r="J31" s="20"/>
      <c r="K31" s="1"/>
      <c r="L31" s="1"/>
    </row>
    <row r="32" spans="1:19" ht="15.75">
      <c r="A32" s="26">
        <v>2</v>
      </c>
      <c r="B32" s="26" t="s">
        <v>16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O32" s="5">
        <v>41017</v>
      </c>
      <c r="P32" t="s">
        <v>65</v>
      </c>
      <c r="Q32" t="s">
        <v>22</v>
      </c>
      <c r="R32" t="s">
        <v>23</v>
      </c>
      <c r="S32" t="s">
        <v>24</v>
      </c>
    </row>
    <row r="33" spans="2:22" ht="15.75">
      <c r="B33" s="1"/>
      <c r="C33" s="1" t="s">
        <v>53</v>
      </c>
      <c r="D33" s="1"/>
      <c r="E33" s="1"/>
      <c r="F33" t="s">
        <v>51</v>
      </c>
      <c r="G33" s="1" t="str">
        <f>CONCATENATE(P35,IF(P35=1," mes. "," meses. "))</f>
        <v>2 meses. </v>
      </c>
      <c r="H33" s="1"/>
      <c r="I33" s="1"/>
      <c r="J33" s="1"/>
      <c r="K33" s="1"/>
      <c r="L33" s="1"/>
      <c r="P33" s="6">
        <f>DATEDIF(O32,T34,"M")</f>
        <v>2</v>
      </c>
      <c r="Q33" s="38">
        <f>DAYS360(O32,T34)+1</f>
        <v>73</v>
      </c>
      <c r="R33" s="14"/>
      <c r="S33" s="7">
        <f>Q33-R33</f>
        <v>73</v>
      </c>
      <c r="V33">
        <f>YEAR(E9)</f>
        <v>2012</v>
      </c>
    </row>
    <row r="34" spans="2:22" ht="15.75">
      <c r="B34" s="1"/>
      <c r="C34" s="1" t="s">
        <v>32</v>
      </c>
      <c r="D34" s="1"/>
      <c r="E34" s="1"/>
      <c r="F34" t="s">
        <v>51</v>
      </c>
      <c r="G34" s="1" t="str">
        <f>CONCATENATE(R33,IF(R33=1," día."," días."))</f>
        <v> días.</v>
      </c>
      <c r="H34" s="1"/>
      <c r="I34" s="1"/>
      <c r="J34" s="1"/>
      <c r="K34" s="1"/>
      <c r="L34" s="1"/>
      <c r="P34" s="8" t="s">
        <v>26</v>
      </c>
      <c r="Q34" s="8" t="s">
        <v>27</v>
      </c>
      <c r="R34" s="7"/>
      <c r="T34" s="31">
        <f>IF(E9&gt;U34,U34,IF(AND(E9&gt;U34,E9&lt;U35),E9,E9))</f>
        <v>41090</v>
      </c>
      <c r="U34" s="31">
        <f>DATEVALUE(V34)</f>
        <v>41090</v>
      </c>
      <c r="V34" s="31" t="str">
        <f>CONCATENATE("30/06/",V33)</f>
        <v>30/06/2012</v>
      </c>
    </row>
    <row r="35" spans="2:22" ht="15.75">
      <c r="B35" s="1"/>
      <c r="C35" s="1" t="s">
        <v>54</v>
      </c>
      <c r="D35" s="1"/>
      <c r="E35" s="1"/>
      <c r="F35" t="s">
        <v>51</v>
      </c>
      <c r="G35" s="1" t="str">
        <f>CONCATENATE(P36,IF(P36=1," mes. "," meses. "))</f>
        <v>2 meses. </v>
      </c>
      <c r="H35" s="1"/>
      <c r="I35" s="1"/>
      <c r="J35" s="1"/>
      <c r="K35" s="1"/>
      <c r="L35" s="1"/>
      <c r="O35" t="s">
        <v>30</v>
      </c>
      <c r="P35" s="9">
        <f>INT((Q33/30))</f>
        <v>2</v>
      </c>
      <c r="Q35" s="9">
        <f>((Q33/30)-INT(Q33/30))*30</f>
        <v>12.999999999999993</v>
      </c>
      <c r="R35" s="7"/>
      <c r="U35" s="31">
        <f>DATEVALUE(V35)</f>
        <v>41274</v>
      </c>
      <c r="V35" s="31" t="str">
        <f>CONCATENATE("31/12/",V33)</f>
        <v>31/12/2012</v>
      </c>
    </row>
    <row r="36" spans="2:17" ht="15.75">
      <c r="B36" s="1"/>
      <c r="C36" s="1" t="str">
        <f>CONCATENATE("Del   ",TEXT(O32,"dd/mmmm/aaaa"),"   al   ",TEXT(E9,"dd/mmmm/aaaa"))</f>
        <v>Del   18/abril/miércoles   al   21/julio/sábado</v>
      </c>
      <c r="D36" s="1"/>
      <c r="E36" s="1"/>
      <c r="F36" s="1"/>
      <c r="G36" s="1"/>
      <c r="H36" s="1"/>
      <c r="I36" s="1"/>
      <c r="J36" s="1"/>
      <c r="K36" s="1"/>
      <c r="L36" s="1"/>
      <c r="O36" t="s">
        <v>31</v>
      </c>
      <c r="P36" s="9">
        <f>INT((S33/30))</f>
        <v>2</v>
      </c>
      <c r="Q36" s="9">
        <f>((S33/30)-INT(S33/30))*30</f>
        <v>12.999999999999993</v>
      </c>
    </row>
    <row r="37" spans="2:12" ht="15.75">
      <c r="B37" s="1"/>
      <c r="C37" s="1"/>
      <c r="D37" s="1"/>
      <c r="E37" s="1" t="s">
        <v>26</v>
      </c>
      <c r="F37" t="s">
        <v>51</v>
      </c>
      <c r="G37" s="1" t="str">
        <f>CONCATENATE(TEXT(G19,"##,##0.00"),"  /  6  x  ",P36)</f>
        <v>6,575.00  /  6  x  2</v>
      </c>
      <c r="I37" t="s">
        <v>51</v>
      </c>
      <c r="J37" s="39">
        <f>IF(G19&gt;0,(G19/6)*P36,0)</f>
        <v>2191.6666666666665</v>
      </c>
      <c r="K37" s="1"/>
      <c r="L37" s="1"/>
    </row>
    <row r="38" spans="2:12" ht="15.75">
      <c r="B38" s="1"/>
      <c r="C38" s="1"/>
      <c r="D38" s="1"/>
      <c r="E38" s="40" t="s">
        <v>66</v>
      </c>
      <c r="G38" s="1"/>
      <c r="I38" t="s">
        <v>51</v>
      </c>
      <c r="J38" s="41">
        <f>J37*9%</f>
        <v>197.24999999999997</v>
      </c>
      <c r="K38" s="1"/>
      <c r="L38" s="1"/>
    </row>
    <row r="39" spans="2:12" ht="15.75">
      <c r="B39" s="1"/>
      <c r="C39" s="1"/>
      <c r="D39" s="1"/>
      <c r="E39" s="1" t="s">
        <v>45</v>
      </c>
      <c r="F39" s="1"/>
      <c r="G39" s="1"/>
      <c r="H39" s="1"/>
      <c r="I39" s="1"/>
      <c r="J39" s="20">
        <f>SUM(J37:J38)</f>
        <v>2388.9166666666665</v>
      </c>
      <c r="K39" s="1"/>
      <c r="L39" s="1"/>
    </row>
    <row r="40" spans="2:12" ht="6.75" customHeight="1">
      <c r="B40" s="1"/>
      <c r="C40" s="1"/>
      <c r="D40" s="1"/>
      <c r="E40" s="1"/>
      <c r="F40" s="1"/>
      <c r="G40" s="1"/>
      <c r="H40" s="1"/>
      <c r="I40" s="1"/>
      <c r="J40" s="20"/>
      <c r="K40" s="1"/>
      <c r="L40" s="1"/>
    </row>
    <row r="41" spans="1:19" ht="15.75">
      <c r="A41" s="26">
        <v>3</v>
      </c>
      <c r="B41" s="26" t="s">
        <v>17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O41" s="5">
        <v>41017</v>
      </c>
      <c r="P41" t="s">
        <v>65</v>
      </c>
      <c r="Q41" t="s">
        <v>22</v>
      </c>
      <c r="R41" t="s">
        <v>23</v>
      </c>
      <c r="S41" t="s">
        <v>24</v>
      </c>
    </row>
    <row r="42" spans="2:19" ht="15.75">
      <c r="B42" s="1"/>
      <c r="C42" s="1" t="s">
        <v>53</v>
      </c>
      <c r="D42" s="1"/>
      <c r="E42" s="1"/>
      <c r="F42" t="s">
        <v>51</v>
      </c>
      <c r="G42" s="1" t="str">
        <f>CONCATENATE(P44,IF(P44=1," mes, "," meses, "),ROUND(Q44,0),IF(ROUND(Q44,0)=1," día. "," días."))</f>
        <v>3 meses, 4 días.</v>
      </c>
      <c r="H42" s="1"/>
      <c r="I42" s="1"/>
      <c r="J42" s="1"/>
      <c r="K42" s="1"/>
      <c r="L42" s="1"/>
      <c r="P42" s="6">
        <f>DATEDIF(O41,E9,"M")</f>
        <v>3</v>
      </c>
      <c r="Q42" s="38">
        <f>DAYS360(O41,E9)+1</f>
        <v>94</v>
      </c>
      <c r="R42" s="14"/>
      <c r="S42" s="7">
        <f>Q42-R42</f>
        <v>94</v>
      </c>
    </row>
    <row r="43" spans="2:17" ht="15.75">
      <c r="B43" s="1"/>
      <c r="C43" s="1" t="s">
        <v>32</v>
      </c>
      <c r="D43" s="1"/>
      <c r="E43" s="1"/>
      <c r="F43" t="s">
        <v>51</v>
      </c>
      <c r="G43" s="1" t="str">
        <f>CONCATENATE(R42,IF(R42=1," día."," días."))</f>
        <v> días.</v>
      </c>
      <c r="H43" s="1"/>
      <c r="I43" s="1"/>
      <c r="J43" s="1"/>
      <c r="K43" s="1"/>
      <c r="L43" s="1"/>
      <c r="P43" s="8" t="s">
        <v>26</v>
      </c>
      <c r="Q43" s="8" t="s">
        <v>27</v>
      </c>
    </row>
    <row r="44" spans="2:17" ht="15.75">
      <c r="B44" s="1"/>
      <c r="C44" s="1" t="s">
        <v>54</v>
      </c>
      <c r="D44" s="1"/>
      <c r="E44" s="1"/>
      <c r="F44" t="s">
        <v>51</v>
      </c>
      <c r="G44" s="1" t="str">
        <f>CONCATENATE(P45,IF(P45=1," mes, "," meses, "),ROUND(Q45,0),IF(ROUND(Q45,0)=1," día. "," días."))</f>
        <v>3 meses, 4 días.</v>
      </c>
      <c r="H44" s="1"/>
      <c r="I44" s="1"/>
      <c r="J44" s="1"/>
      <c r="K44" s="1"/>
      <c r="L44" s="1"/>
      <c r="O44" t="s">
        <v>30</v>
      </c>
      <c r="P44" s="9">
        <f>INT((Q42/30))</f>
        <v>3</v>
      </c>
      <c r="Q44" s="9">
        <f>((Q42/30)-INT(Q42/30))*30</f>
        <v>3.999999999999999</v>
      </c>
    </row>
    <row r="45" spans="2:17" ht="15.75">
      <c r="B45" s="1"/>
      <c r="C45" s="1" t="str">
        <f>CONCATENATE("Del   ",TEXT(O41,"dd/mmmm/aaaa"),"   al   ",TEXT(E9,"dd/mmmm/aaaa"))</f>
        <v>Del   18/abril/miércoles   al   21/julio/sábado</v>
      </c>
      <c r="D45" s="1"/>
      <c r="E45" s="1"/>
      <c r="F45" s="1"/>
      <c r="G45" s="1"/>
      <c r="H45" s="1"/>
      <c r="I45" s="1"/>
      <c r="J45" s="1"/>
      <c r="K45" s="1"/>
      <c r="L45" s="1"/>
      <c r="O45" t="s">
        <v>31</v>
      </c>
      <c r="P45" s="9">
        <f>INT((S42/30))</f>
        <v>3</v>
      </c>
      <c r="Q45" s="9">
        <f>((S42/30)-INT(S42/30))*30</f>
        <v>3.999999999999999</v>
      </c>
    </row>
    <row r="46" spans="2:12" ht="15.75">
      <c r="B46" s="1"/>
      <c r="C46" s="1"/>
      <c r="D46" s="1"/>
      <c r="E46" s="1" t="s">
        <v>26</v>
      </c>
      <c r="F46" t="s">
        <v>51</v>
      </c>
      <c r="G46" s="1" t="str">
        <f>CONCATENATE(TEXT(G19,"##,##0.00"),"  /  12  x  ",P45)</f>
        <v>6,575.00  /  12  x  3</v>
      </c>
      <c r="I46" t="s">
        <v>51</v>
      </c>
      <c r="J46" s="11">
        <f>IF(G19&gt;0,(G19/12)*P45,0)</f>
        <v>1643.75</v>
      </c>
      <c r="K46" s="1"/>
      <c r="L46" s="1"/>
    </row>
    <row r="47" spans="2:12" ht="15.75">
      <c r="B47" s="1"/>
      <c r="C47" s="1"/>
      <c r="D47" s="1"/>
      <c r="E47" s="1" t="s">
        <v>27</v>
      </c>
      <c r="F47" t="s">
        <v>51</v>
      </c>
      <c r="G47" s="1" t="str">
        <f>CONCATENATE(TEXT(G19,"##,##0.00"),"  /  12  /  30  x  ",Q45)</f>
        <v>6,575.00  /  12  /  30  x  4</v>
      </c>
      <c r="H47" s="1"/>
      <c r="I47" t="s">
        <v>51</v>
      </c>
      <c r="J47" s="21">
        <f>IF(G19&gt;0,((G19/12)/30)*Q45,0)</f>
        <v>73.05555555555554</v>
      </c>
      <c r="K47" s="1"/>
      <c r="L47" s="1"/>
    </row>
    <row r="48" spans="2:12" ht="15.75">
      <c r="B48" s="1"/>
      <c r="C48" s="1"/>
      <c r="D48" s="1"/>
      <c r="E48" s="1" t="s">
        <v>46</v>
      </c>
      <c r="F48" s="1"/>
      <c r="G48" s="1"/>
      <c r="H48" s="1"/>
      <c r="I48" s="1"/>
      <c r="J48" s="20">
        <f>SUM(J46:J47)</f>
        <v>1716.8055555555557</v>
      </c>
      <c r="K48" s="1"/>
      <c r="L48" s="1"/>
    </row>
    <row r="49" spans="2:12" ht="6.75" customHeight="1">
      <c r="B49" s="1"/>
      <c r="C49" s="1"/>
      <c r="D49" s="1"/>
      <c r="E49" s="1"/>
      <c r="F49" s="1"/>
      <c r="G49" s="1"/>
      <c r="H49" s="1"/>
      <c r="I49" s="1"/>
      <c r="J49" s="20"/>
      <c r="K49" s="1"/>
      <c r="L49" s="1"/>
    </row>
    <row r="50" spans="1:13" ht="15.75">
      <c r="A50" s="26">
        <v>4</v>
      </c>
      <c r="B50" s="26" t="s">
        <v>18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8"/>
    </row>
    <row r="51" spans="2:12" ht="15.75">
      <c r="B51" s="1"/>
      <c r="C51" s="1" t="e">
        <f>IF(E10&gt;"",CONCATENATE(E10," - ",VLOOKUP(E10,PENSIONES,2,0)*100,"%"),"")</f>
        <v>#NAME?</v>
      </c>
      <c r="D51" s="1"/>
      <c r="E51" s="1"/>
      <c r="F51" s="1"/>
      <c r="G51" s="1"/>
      <c r="H51" s="1"/>
      <c r="I51" s="1"/>
      <c r="J51" s="11" t="e">
        <f>(J48+J39)*VLOOKUP(E10,PENSIONES,2,0)</f>
        <v>#NAME?</v>
      </c>
      <c r="K51" s="1"/>
      <c r="L51" s="1"/>
    </row>
    <row r="52" spans="2:12" ht="15.75">
      <c r="B52" s="1"/>
      <c r="C52" s="1" t="s">
        <v>19</v>
      </c>
      <c r="D52" s="1"/>
      <c r="E52" s="1" t="s">
        <v>48</v>
      </c>
      <c r="F52" s="1"/>
      <c r="G52" s="1"/>
      <c r="H52" s="1"/>
      <c r="I52" s="1"/>
      <c r="J52" s="11"/>
      <c r="K52" s="1"/>
      <c r="L52" s="1"/>
    </row>
    <row r="53" spans="2:12" ht="15.75">
      <c r="B53" s="1"/>
      <c r="C53" s="1"/>
      <c r="D53" s="1"/>
      <c r="E53" s="1" t="s">
        <v>48</v>
      </c>
      <c r="F53" s="1"/>
      <c r="G53" s="1"/>
      <c r="H53" s="1"/>
      <c r="I53" s="1"/>
      <c r="J53" s="21"/>
      <c r="K53" s="1"/>
      <c r="L53" s="1"/>
    </row>
    <row r="54" spans="2:12" ht="15.75">
      <c r="B54" s="1"/>
      <c r="C54" s="1"/>
      <c r="D54" s="1"/>
      <c r="E54" s="1" t="s">
        <v>47</v>
      </c>
      <c r="F54" s="1"/>
      <c r="G54" s="1"/>
      <c r="H54" s="1"/>
      <c r="I54" s="1"/>
      <c r="J54" s="20" t="e">
        <f>SUM(J51:J53)</f>
        <v>#NAME?</v>
      </c>
      <c r="K54" s="1"/>
      <c r="L54" s="1"/>
    </row>
    <row r="55" spans="2:12" ht="6.75" customHeight="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2:12" ht="16.5" thickBot="1">
      <c r="B56" s="2" t="s">
        <v>49</v>
      </c>
      <c r="C56" s="1"/>
      <c r="D56" s="1"/>
      <c r="E56" s="1"/>
      <c r="F56" s="1"/>
      <c r="G56" s="1"/>
      <c r="H56" s="1"/>
      <c r="I56" s="1"/>
      <c r="J56" s="22" t="e">
        <f>J30+J39+J48-J54</f>
        <v>#NAME?</v>
      </c>
      <c r="K56" s="1"/>
      <c r="L56" s="1"/>
    </row>
    <row r="57" spans="2:12" ht="7.5" customHeight="1" thickTop="1">
      <c r="B57" s="2"/>
      <c r="C57" s="1"/>
      <c r="D57" s="1"/>
      <c r="E57" s="1"/>
      <c r="F57" s="1"/>
      <c r="G57" s="1"/>
      <c r="H57" s="1"/>
      <c r="I57" s="1"/>
      <c r="J57" s="23"/>
      <c r="K57" s="1"/>
      <c r="L57" s="1"/>
    </row>
    <row r="58" spans="2:12" ht="15.75">
      <c r="B58" s="30" t="s">
        <v>50</v>
      </c>
      <c r="C58" s="1" t="e">
        <f>IF(J56&gt;0,Num_Texto(J56),"")</f>
        <v>#NAME?</v>
      </c>
      <c r="D58" s="1"/>
      <c r="E58" s="1"/>
      <c r="F58" s="1"/>
      <c r="G58" s="1"/>
      <c r="H58" s="1"/>
      <c r="I58" s="1"/>
      <c r="J58" s="23"/>
      <c r="K58" s="1"/>
      <c r="L58" s="1"/>
    </row>
    <row r="59" spans="2:12" ht="11.25" customHeight="1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3" ht="33.75" customHeight="1">
      <c r="A60" s="89" t="s">
        <v>55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3" ht="15.75">
      <c r="A62" s="1"/>
      <c r="B62" s="1"/>
      <c r="C62" s="1"/>
      <c r="D62" s="1"/>
      <c r="E62" s="1"/>
      <c r="F62" s="1"/>
      <c r="G62" s="1"/>
      <c r="H62" s="1"/>
      <c r="I62" s="1"/>
      <c r="J62" s="29" t="s">
        <v>58</v>
      </c>
      <c r="K62" s="91">
        <f>P11</f>
        <v>40513</v>
      </c>
      <c r="L62" s="91"/>
      <c r="M62" s="9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6" spans="3:12" ht="12.75">
      <c r="C66" s="24"/>
      <c r="D66" s="24"/>
      <c r="E66" s="24"/>
      <c r="F66" s="24"/>
      <c r="G66" s="24"/>
      <c r="J66" s="24"/>
      <c r="K66" s="24"/>
      <c r="L66" s="24"/>
    </row>
    <row r="67" spans="3:12" ht="12.75">
      <c r="C67" s="87" t="str">
        <f>IF(E3&gt;"",E3,"")</f>
        <v>HUACHO LIMA AURELIO</v>
      </c>
      <c r="D67" s="87"/>
      <c r="E67" s="87"/>
      <c r="F67" s="87"/>
      <c r="G67" s="87"/>
      <c r="J67" s="87" t="s">
        <v>56</v>
      </c>
      <c r="K67" s="87"/>
      <c r="L67" s="87"/>
    </row>
    <row r="68" spans="3:7" ht="12.75">
      <c r="C68" s="88" t="str">
        <f>CONCATENATE("DNI Nº : ",IF(E4&gt;0,E4,""))</f>
        <v>DNI Nº : </v>
      </c>
      <c r="D68" s="88"/>
      <c r="E68" s="88"/>
      <c r="F68" s="88"/>
      <c r="G68" s="88"/>
    </row>
    <row r="72" ht="12.75">
      <c r="A72" s="33" t="s">
        <v>60</v>
      </c>
    </row>
    <row r="73" spans="2:5" ht="12.75">
      <c r="B73" t="s">
        <v>61</v>
      </c>
      <c r="C73" s="34">
        <v>0.09</v>
      </c>
      <c r="E73" s="36">
        <f>IF((J48+J39)&gt;600,(J48+J39)*C73,600*C73)</f>
        <v>369.51500000000004</v>
      </c>
    </row>
    <row r="74" spans="2:5" ht="12.75">
      <c r="B74" t="s">
        <v>62</v>
      </c>
      <c r="C74" s="35">
        <v>0.0184</v>
      </c>
      <c r="E74" s="36">
        <f>(J48+J39)*C74</f>
        <v>75.54528888888889</v>
      </c>
    </row>
  </sheetData>
  <sheetProtection/>
  <mergeCells count="6">
    <mergeCell ref="C67:G67"/>
    <mergeCell ref="C68:G68"/>
    <mergeCell ref="J67:L67"/>
    <mergeCell ref="A60:M60"/>
    <mergeCell ref="A1:M1"/>
    <mergeCell ref="K62:M62"/>
  </mergeCells>
  <dataValidations count="1">
    <dataValidation type="list" allowBlank="1" showInputMessage="1" showErrorMessage="1" sqref="E10:F10">
      <formula1>PENSION</formula1>
    </dataValidation>
  </dataValidation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AR83"/>
  <sheetViews>
    <sheetView showGridLines="0" zoomScalePageLayoutView="0" workbookViewId="0" topLeftCell="H22">
      <selection activeCell="A1" sqref="A1:M1"/>
    </sheetView>
  </sheetViews>
  <sheetFormatPr defaultColWidth="11.421875" defaultRowHeight="12.75"/>
  <cols>
    <col min="1" max="1" width="3.421875" style="0" customWidth="1"/>
    <col min="3" max="3" width="9.00390625" style="0" customWidth="1"/>
    <col min="4" max="4" width="1.1484375" style="0" customWidth="1"/>
    <col min="6" max="6" width="1.1484375" style="0" customWidth="1"/>
    <col min="8" max="8" width="13.8515625" style="0" customWidth="1"/>
    <col min="9" max="9" width="1.1484375" style="0" customWidth="1"/>
    <col min="14" max="14" width="17.00390625" style="0" bestFit="1" customWidth="1"/>
    <col min="15" max="15" width="12.7109375" style="0" customWidth="1"/>
  </cols>
  <sheetData>
    <row r="1" spans="1:16" ht="15.7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O1" t="s">
        <v>41</v>
      </c>
      <c r="P1" s="3"/>
    </row>
    <row r="2" spans="15:16" ht="12.75">
      <c r="O2" t="s">
        <v>42</v>
      </c>
      <c r="P2" s="3">
        <v>1200</v>
      </c>
    </row>
    <row r="3" spans="1:16" ht="15.75">
      <c r="A3" s="1" t="s">
        <v>1</v>
      </c>
      <c r="D3" t="s">
        <v>51</v>
      </c>
      <c r="E3" t="s">
        <v>63</v>
      </c>
      <c r="O3" t="s">
        <v>43</v>
      </c>
      <c r="P3" s="3">
        <v>1200</v>
      </c>
    </row>
    <row r="4" spans="1:16" ht="15.75">
      <c r="A4" s="1" t="s">
        <v>59</v>
      </c>
      <c r="D4" t="s">
        <v>51</v>
      </c>
      <c r="E4" s="25"/>
      <c r="H4" s="31"/>
      <c r="P4" s="3"/>
    </row>
    <row r="5" spans="1:16" ht="15.75">
      <c r="A5" s="1" t="s">
        <v>2</v>
      </c>
      <c r="B5" s="1"/>
      <c r="C5" s="1"/>
      <c r="D5" t="s">
        <v>51</v>
      </c>
      <c r="E5" s="1"/>
      <c r="F5" s="1"/>
      <c r="G5" s="1"/>
      <c r="H5" s="31"/>
      <c r="O5" s="16" t="s">
        <v>36</v>
      </c>
      <c r="P5" s="17">
        <v>0.13</v>
      </c>
    </row>
    <row r="6" spans="1:16" ht="15.75">
      <c r="A6" s="1" t="s">
        <v>3</v>
      </c>
      <c r="B6" s="1"/>
      <c r="C6" s="1"/>
      <c r="D6" t="s">
        <v>51</v>
      </c>
      <c r="E6" s="1"/>
      <c r="F6" s="1"/>
      <c r="G6" s="1"/>
      <c r="H6" s="31"/>
      <c r="O6" s="16" t="s">
        <v>37</v>
      </c>
      <c r="P6" s="18">
        <v>0.1306</v>
      </c>
    </row>
    <row r="7" spans="1:16" ht="15.75">
      <c r="A7" s="1" t="s">
        <v>4</v>
      </c>
      <c r="B7" s="1"/>
      <c r="C7" s="1"/>
      <c r="D7" t="s">
        <v>51</v>
      </c>
      <c r="E7" s="1"/>
      <c r="F7" s="1"/>
      <c r="G7" s="1"/>
      <c r="O7" s="16" t="s">
        <v>38</v>
      </c>
      <c r="P7" s="18">
        <v>0.1283</v>
      </c>
    </row>
    <row r="8" spans="1:16" ht="15.75">
      <c r="A8" s="1" t="s">
        <v>5</v>
      </c>
      <c r="B8" s="1"/>
      <c r="C8" s="1"/>
      <c r="D8" t="s">
        <v>51</v>
      </c>
      <c r="E8" s="37">
        <v>40822</v>
      </c>
      <c r="F8" s="10"/>
      <c r="G8" s="1"/>
      <c r="O8" s="16" t="s">
        <v>39</v>
      </c>
      <c r="P8" s="18">
        <v>0.1281</v>
      </c>
    </row>
    <row r="9" spans="1:16" ht="15.75">
      <c r="A9" s="1" t="s">
        <v>6</v>
      </c>
      <c r="B9" s="1"/>
      <c r="C9" s="1"/>
      <c r="D9" t="s">
        <v>51</v>
      </c>
      <c r="E9" s="37">
        <v>41111</v>
      </c>
      <c r="F9" s="37"/>
      <c r="G9" s="37"/>
      <c r="O9" s="16" t="s">
        <v>40</v>
      </c>
      <c r="P9" s="18">
        <v>0.1356</v>
      </c>
    </row>
    <row r="10" spans="1:7" ht="15.75">
      <c r="A10" s="1" t="s">
        <v>35</v>
      </c>
      <c r="B10" s="1"/>
      <c r="C10" s="1"/>
      <c r="D10" t="s">
        <v>51</v>
      </c>
      <c r="E10" s="10" t="s">
        <v>37</v>
      </c>
      <c r="F10" s="10"/>
      <c r="G10" s="10"/>
    </row>
    <row r="11" spans="1:16" ht="15.75">
      <c r="A11" s="1" t="s">
        <v>8</v>
      </c>
      <c r="B11" s="1"/>
      <c r="C11" s="1"/>
      <c r="D11" s="1"/>
      <c r="E11" s="19" t="s">
        <v>33</v>
      </c>
      <c r="F11" s="19"/>
      <c r="G11" s="19" t="s">
        <v>34</v>
      </c>
      <c r="O11" s="16" t="s">
        <v>57</v>
      </c>
      <c r="P11" s="4"/>
    </row>
    <row r="12" spans="1:15" ht="15.75">
      <c r="A12" s="1"/>
      <c r="B12" s="1" t="s">
        <v>9</v>
      </c>
      <c r="C12" s="1"/>
      <c r="D12" t="s">
        <v>51</v>
      </c>
      <c r="E12" s="11">
        <f>IF(P1&gt;0,P1*30,P2)</f>
        <v>1200</v>
      </c>
      <c r="F12" s="11"/>
      <c r="G12" s="11">
        <f aca="true" t="shared" si="0" ref="G12:G17">E12</f>
        <v>1200</v>
      </c>
      <c r="N12" s="13"/>
      <c r="O12" s="16" t="s">
        <v>64</v>
      </c>
    </row>
    <row r="13" spans="1:7" ht="15.75">
      <c r="A13" s="1"/>
      <c r="B13" s="1" t="s">
        <v>10</v>
      </c>
      <c r="C13" s="1"/>
      <c r="D13" t="s">
        <v>51</v>
      </c>
      <c r="E13" s="11"/>
      <c r="F13" s="11"/>
      <c r="G13" s="11">
        <f t="shared" si="0"/>
        <v>0</v>
      </c>
    </row>
    <row r="14" spans="1:7" ht="15.75">
      <c r="A14" s="1"/>
      <c r="B14" s="1" t="s">
        <v>11</v>
      </c>
      <c r="C14" s="1"/>
      <c r="D14" t="s">
        <v>51</v>
      </c>
      <c r="E14" s="11"/>
      <c r="F14" s="11"/>
      <c r="G14" s="11">
        <f t="shared" si="0"/>
        <v>0</v>
      </c>
    </row>
    <row r="15" spans="1:7" ht="15.75">
      <c r="A15" s="1"/>
      <c r="B15" s="1" t="s">
        <v>12</v>
      </c>
      <c r="C15" s="1"/>
      <c r="D15" t="s">
        <v>51</v>
      </c>
      <c r="E15" s="11"/>
      <c r="F15" s="11"/>
      <c r="G15" s="11">
        <f t="shared" si="0"/>
        <v>0</v>
      </c>
    </row>
    <row r="16" spans="1:7" ht="15.75">
      <c r="A16" s="1"/>
      <c r="B16" s="1" t="s">
        <v>13</v>
      </c>
      <c r="C16" s="1"/>
      <c r="D16" t="s">
        <v>51</v>
      </c>
      <c r="E16" s="11"/>
      <c r="F16" s="11"/>
      <c r="G16" s="11">
        <f t="shared" si="0"/>
        <v>0</v>
      </c>
    </row>
    <row r="17" spans="1:7" ht="15.75">
      <c r="A17" s="1"/>
      <c r="B17" s="1" t="s">
        <v>19</v>
      </c>
      <c r="C17" s="32"/>
      <c r="D17" t="s">
        <v>51</v>
      </c>
      <c r="E17" s="11"/>
      <c r="F17" s="11"/>
      <c r="G17" s="11">
        <f t="shared" si="0"/>
        <v>0</v>
      </c>
    </row>
    <row r="18" spans="1:7" ht="15.75">
      <c r="A18" s="1"/>
      <c r="B18" s="1" t="s">
        <v>14</v>
      </c>
      <c r="C18" s="32"/>
      <c r="D18" t="s">
        <v>51</v>
      </c>
      <c r="E18" s="11">
        <f>IF(P3&gt;0,P3/6,0)</f>
        <v>200</v>
      </c>
      <c r="F18" s="11"/>
      <c r="G18" s="15"/>
    </row>
    <row r="19" spans="1:21" ht="16.5" thickBot="1">
      <c r="A19" s="1"/>
      <c r="B19" s="1" t="s">
        <v>20</v>
      </c>
      <c r="C19" s="32"/>
      <c r="D19" s="1"/>
      <c r="E19" s="12">
        <f>SUM(E12:E18)</f>
        <v>1400</v>
      </c>
      <c r="F19" s="12"/>
      <c r="G19" s="12">
        <f>SUM(G12:G17)</f>
        <v>1200</v>
      </c>
      <c r="U19" s="8"/>
    </row>
    <row r="20" spans="15:44" ht="13.5" thickTop="1">
      <c r="O20" t="s">
        <v>21</v>
      </c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</row>
    <row r="21" spans="1:44" ht="15.75">
      <c r="A21" s="26">
        <v>1</v>
      </c>
      <c r="B21" s="26" t="s">
        <v>15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8"/>
      <c r="O21" s="5">
        <v>41030</v>
      </c>
      <c r="P21" t="s">
        <v>65</v>
      </c>
      <c r="Q21" t="s">
        <v>22</v>
      </c>
      <c r="R21" t="s">
        <v>23</v>
      </c>
      <c r="S21" t="s">
        <v>24</v>
      </c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</row>
    <row r="22" spans="2:44" ht="15.75">
      <c r="B22" s="2"/>
      <c r="C22" s="1" t="s">
        <v>52</v>
      </c>
      <c r="D22" s="1"/>
      <c r="E22" s="1"/>
      <c r="F22" t="s">
        <v>51</v>
      </c>
      <c r="G22" s="1" t="str">
        <f>CONCATENATE(P24,IF(P24=1," año, "," años, "),Q24,IF(Q24=1," mes, "," meses, "),ROUND(R24,0),IF(ROUND(R24,0)=1," día. "," días."))</f>
        <v>0 años, 9 meses, 15 días.</v>
      </c>
      <c r="H22" s="1"/>
      <c r="I22" s="1"/>
      <c r="J22" s="1"/>
      <c r="K22" s="1"/>
      <c r="L22" s="1"/>
      <c r="P22" s="6">
        <f>DATEDIF(O21,E9,"M")</f>
        <v>2</v>
      </c>
      <c r="Q22" s="38">
        <f>DAYS360(O21,E9)</f>
        <v>80</v>
      </c>
      <c r="R22" s="14"/>
      <c r="S22" s="7">
        <f>Q22-R22</f>
        <v>80</v>
      </c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</row>
    <row r="23" spans="2:44" ht="15.75">
      <c r="B23" s="2"/>
      <c r="C23" s="1" t="s">
        <v>7</v>
      </c>
      <c r="D23" s="1"/>
      <c r="E23" s="1"/>
      <c r="F23" t="s">
        <v>51</v>
      </c>
      <c r="G23" s="1" t="str">
        <f>CONCATENATE(P25,IF(P25=1," año, "," años, "),Q25,IF(Q25=1," mes, "," meses, "),ROUND(R25,0),IF(ROUND(R25,0)=1," día. "," días."))</f>
        <v>0 años, 6 meses, 25 días.</v>
      </c>
      <c r="H23" s="1"/>
      <c r="I23" s="1"/>
      <c r="J23" s="1"/>
      <c r="K23" s="1"/>
      <c r="L23" s="1"/>
      <c r="P23" s="8" t="s">
        <v>25</v>
      </c>
      <c r="Q23" s="8" t="s">
        <v>26</v>
      </c>
      <c r="R23" s="8" t="s">
        <v>27</v>
      </c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2:21" ht="15.75">
      <c r="B24" s="1"/>
      <c r="C24" s="1" t="s">
        <v>53</v>
      </c>
      <c r="D24" s="1"/>
      <c r="E24" s="1"/>
      <c r="F24" t="s">
        <v>51</v>
      </c>
      <c r="G24" s="1" t="str">
        <f>CONCATENATE(P26,IF(P26=1," año, "," años, "),Q26,IF(Q26=1," mes, "," meses, "),ROUND(R26,0),IF(ROUND(R26,0)=1," día. "," días."))</f>
        <v>0 años, 2 meses, 21 días.</v>
      </c>
      <c r="H24" s="1"/>
      <c r="I24" s="1"/>
      <c r="J24" s="1"/>
      <c r="K24" s="1"/>
      <c r="L24" s="1"/>
      <c r="O24" t="s">
        <v>28</v>
      </c>
      <c r="P24" s="9">
        <f>INT(IF(S24&gt;360,S24/360,0))</f>
        <v>0</v>
      </c>
      <c r="Q24" s="9">
        <f>INT((S24/30)-(12*P24))</f>
        <v>9</v>
      </c>
      <c r="R24" s="9">
        <f>((S24/30)-INT(S24/30))*30</f>
        <v>15</v>
      </c>
      <c r="S24" s="38">
        <f>DAYS360(E8,E9)</f>
        <v>285</v>
      </c>
      <c r="T24" s="6">
        <f>DATEDIF(E8,E9,"M")+1</f>
        <v>10</v>
      </c>
      <c r="U24" s="8"/>
    </row>
    <row r="25" spans="2:21" ht="15.75">
      <c r="B25" s="1"/>
      <c r="C25" s="32" t="s">
        <v>32</v>
      </c>
      <c r="D25" s="1"/>
      <c r="E25" s="1"/>
      <c r="F25" t="s">
        <v>51</v>
      </c>
      <c r="G25" s="1" t="str">
        <f>CONCATENATE(R22,IF(R22=1," día."," días."))</f>
        <v> días.</v>
      </c>
      <c r="H25" s="1"/>
      <c r="I25" s="1"/>
      <c r="J25" s="1"/>
      <c r="K25" s="1"/>
      <c r="L25" s="1"/>
      <c r="O25" t="s">
        <v>29</v>
      </c>
      <c r="P25" s="9">
        <f>INT(IF(S25&gt;360,S25/360,0))</f>
        <v>0</v>
      </c>
      <c r="Q25" s="9">
        <f>INT((S25/30)-(12*P25))</f>
        <v>6</v>
      </c>
      <c r="R25" s="9">
        <f>((S25/30)-INT(S25/30))*30</f>
        <v>24.999999999999993</v>
      </c>
      <c r="S25" s="6">
        <f>S24-Q22</f>
        <v>205</v>
      </c>
      <c r="U25" s="8"/>
    </row>
    <row r="26" spans="2:19" ht="15.75">
      <c r="B26" s="1"/>
      <c r="C26" s="32" t="s">
        <v>54</v>
      </c>
      <c r="D26" s="1"/>
      <c r="E26" s="1"/>
      <c r="F26" t="s">
        <v>51</v>
      </c>
      <c r="G26" s="1" t="str">
        <f>CONCATENATE(P27,IF(P27=1," año, "," años, "),Q27,IF(Q27=1," mes, "," meses, "),ROUND(R27,0),IF(ROUND(R27,0)=1," día. "," días."))</f>
        <v>0 años, 2 meses, 21 días.</v>
      </c>
      <c r="H26" s="1"/>
      <c r="I26" s="1"/>
      <c r="J26" s="1"/>
      <c r="K26" s="1"/>
      <c r="L26" s="1"/>
      <c r="O26" t="s">
        <v>30</v>
      </c>
      <c r="P26" s="9">
        <f>INT(IF(S22&gt;360,S22/360,0))</f>
        <v>0</v>
      </c>
      <c r="Q26" s="9">
        <f>INT((Q22/30)-(12*P26))</f>
        <v>2</v>
      </c>
      <c r="R26" s="9">
        <f>DAY(E9)</f>
        <v>21</v>
      </c>
      <c r="S26" s="6"/>
    </row>
    <row r="27" spans="2:18" ht="15.75">
      <c r="B27" s="1"/>
      <c r="C27" s="32" t="str">
        <f>CONCATENATE("Del   ",TEXT(O21,"dd/mmmm/aaaa"),"   al   ",TEXT(E9,"dd/mmmm/aaaa"))</f>
        <v>Del   01/mayo/martes   al   21/julio/sábado</v>
      </c>
      <c r="D27" s="1"/>
      <c r="E27" s="1"/>
      <c r="F27" s="1"/>
      <c r="G27" s="1"/>
      <c r="H27" s="1"/>
      <c r="I27" s="1"/>
      <c r="J27" s="1"/>
      <c r="K27" s="1"/>
      <c r="L27" s="1"/>
      <c r="O27" t="s">
        <v>31</v>
      </c>
      <c r="P27" s="9">
        <f>INT(IF(S22&gt;360,S22/360,0))</f>
        <v>0</v>
      </c>
      <c r="Q27" s="9">
        <f>IF(S22&gt;0,INT((S22/30)-(12*P27)),0)</f>
        <v>2</v>
      </c>
      <c r="R27" s="9">
        <f>DAY(E9)</f>
        <v>21</v>
      </c>
    </row>
    <row r="28" spans="2:12" ht="15.75">
      <c r="B28" s="1"/>
      <c r="E28" s="1" t="s">
        <v>26</v>
      </c>
      <c r="F28" t="s">
        <v>51</v>
      </c>
      <c r="G28" s="1" t="str">
        <f>CONCATENATE(TEXT(E19,"##,##0.00"),"  /  12  x  ",Q27)</f>
        <v>1,400.00  /  12  x  2</v>
      </c>
      <c r="I28" t="s">
        <v>51</v>
      </c>
      <c r="J28" s="11">
        <f>IF(E19&gt;0,(E19/12)*Q27,0)</f>
        <v>233.33333333333334</v>
      </c>
      <c r="K28" s="1"/>
      <c r="L28" s="1"/>
    </row>
    <row r="29" spans="2:12" ht="15.75">
      <c r="B29" s="1"/>
      <c r="E29" s="1" t="s">
        <v>27</v>
      </c>
      <c r="F29" t="s">
        <v>51</v>
      </c>
      <c r="G29" s="1" t="str">
        <f>CONCATENATE(TEXT(E19,"##,##0.00"),"  /  12  /  30  x  ",R27)</f>
        <v>1,400.00  /  12  /  30  x  21</v>
      </c>
      <c r="H29" s="1"/>
      <c r="I29" t="s">
        <v>51</v>
      </c>
      <c r="J29" s="21">
        <f>IF(E19&gt;0,((E19/12)/30)*R27,0)</f>
        <v>81.66666666666667</v>
      </c>
      <c r="K29" s="1"/>
      <c r="L29" s="1"/>
    </row>
    <row r="30" spans="2:12" ht="15.75">
      <c r="B30" s="1"/>
      <c r="E30" s="1" t="s">
        <v>44</v>
      </c>
      <c r="F30" s="1"/>
      <c r="G30" s="1"/>
      <c r="H30" s="1"/>
      <c r="I30" s="1"/>
      <c r="J30" s="20">
        <f>SUM(J28:J29)</f>
        <v>315</v>
      </c>
      <c r="K30" s="1"/>
      <c r="L30" s="1"/>
    </row>
    <row r="31" spans="2:12" ht="6.75" customHeight="1">
      <c r="B31" s="1"/>
      <c r="E31" s="1"/>
      <c r="F31" s="1"/>
      <c r="G31" s="1"/>
      <c r="H31" s="1"/>
      <c r="I31" s="1"/>
      <c r="J31" s="20"/>
      <c r="K31" s="1"/>
      <c r="L31" s="1"/>
    </row>
    <row r="32" spans="1:19" ht="15.75">
      <c r="A32" s="26">
        <v>2</v>
      </c>
      <c r="B32" s="26" t="s">
        <v>16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/>
      <c r="O32" s="5">
        <v>41091</v>
      </c>
      <c r="P32" t="s">
        <v>65</v>
      </c>
      <c r="Q32" t="s">
        <v>22</v>
      </c>
      <c r="R32" t="s">
        <v>23</v>
      </c>
      <c r="S32" t="s">
        <v>24</v>
      </c>
    </row>
    <row r="33" spans="2:22" ht="15.75">
      <c r="B33" s="1"/>
      <c r="C33" s="1" t="s">
        <v>53</v>
      </c>
      <c r="D33" s="1"/>
      <c r="E33" s="1"/>
      <c r="F33" t="s">
        <v>51</v>
      </c>
      <c r="G33" s="1" t="str">
        <f>CONCATENATE(P35,IF(P35=1," mes. "," meses. "))</f>
        <v>0 meses. </v>
      </c>
      <c r="H33" s="1"/>
      <c r="I33" s="1"/>
      <c r="J33" s="1"/>
      <c r="K33" s="1"/>
      <c r="L33" s="1"/>
      <c r="P33" s="6">
        <f>DATEDIF(O32,T34,"M")</f>
        <v>0</v>
      </c>
      <c r="Q33" s="38">
        <f>DAYS360(O32,T34)</f>
        <v>20</v>
      </c>
      <c r="R33" s="14"/>
      <c r="S33" s="7">
        <f>Q33-R33</f>
        <v>20</v>
      </c>
      <c r="V33">
        <f>YEAR(E9)</f>
        <v>2012</v>
      </c>
    </row>
    <row r="34" spans="2:22" ht="15.75">
      <c r="B34" s="1"/>
      <c r="C34" s="1" t="s">
        <v>32</v>
      </c>
      <c r="D34" s="1"/>
      <c r="E34" s="1"/>
      <c r="F34" t="s">
        <v>51</v>
      </c>
      <c r="G34" s="1" t="str">
        <f>CONCATENATE(R33,IF(R33=1," día."," días."))</f>
        <v> días.</v>
      </c>
      <c r="H34" s="1"/>
      <c r="I34" s="1"/>
      <c r="J34" s="1"/>
      <c r="K34" s="1"/>
      <c r="L34" s="1"/>
      <c r="P34" s="8" t="s">
        <v>26</v>
      </c>
      <c r="Q34" s="8" t="s">
        <v>27</v>
      </c>
      <c r="R34" s="7"/>
      <c r="T34" s="31">
        <f>IF(AND(O32&lt;U34,E9&gt;U34),U34,IF(AND(E9&gt;U34,E9&lt;U35),E9,E9))</f>
        <v>41111</v>
      </c>
      <c r="U34" s="31">
        <f>DATEVALUE(V34)</f>
        <v>41090</v>
      </c>
      <c r="V34" s="31" t="str">
        <f>CONCATENATE("30/06/",V33)</f>
        <v>30/06/2012</v>
      </c>
    </row>
    <row r="35" spans="2:22" ht="15.75">
      <c r="B35" s="1"/>
      <c r="C35" s="1" t="s">
        <v>54</v>
      </c>
      <c r="D35" s="1"/>
      <c r="E35" s="1"/>
      <c r="F35" t="s">
        <v>51</v>
      </c>
      <c r="G35" s="1" t="str">
        <f>CONCATENATE(P36,IF(P36=1," mes. "," meses. "))</f>
        <v>0 meses. </v>
      </c>
      <c r="H35" s="1"/>
      <c r="I35" s="1"/>
      <c r="J35" s="1"/>
      <c r="K35" s="1"/>
      <c r="L35" s="1"/>
      <c r="O35" t="s">
        <v>30</v>
      </c>
      <c r="P35" s="9">
        <f>INT((Q33/30))</f>
        <v>0</v>
      </c>
      <c r="Q35" s="9">
        <f>((Q33/30)-INT(Q33/30))*30</f>
        <v>20</v>
      </c>
      <c r="R35" s="7"/>
      <c r="U35" s="31">
        <f>DATEVALUE(V35)</f>
        <v>41274</v>
      </c>
      <c r="V35" s="31" t="str">
        <f>CONCATENATE("31/12/",V33)</f>
        <v>31/12/2012</v>
      </c>
    </row>
    <row r="36" spans="2:17" ht="15.75">
      <c r="B36" s="1"/>
      <c r="C36" s="1" t="str">
        <f>CONCATENATE("Del   ",TEXT(O32,"dd/mmmm/aaaa"),"   al   ",TEXT(E9,"dd/mmmm/aaaa"))</f>
        <v>Del   01/julio/domingo   al   21/julio/sábado</v>
      </c>
      <c r="D36" s="1"/>
      <c r="E36" s="1"/>
      <c r="F36" s="1"/>
      <c r="G36" s="1"/>
      <c r="H36" s="1"/>
      <c r="I36" s="1"/>
      <c r="J36" s="1"/>
      <c r="K36" s="1"/>
      <c r="L36" s="1"/>
      <c r="O36" t="s">
        <v>31</v>
      </c>
      <c r="P36" s="9">
        <f>INT((S33/30))</f>
        <v>0</v>
      </c>
      <c r="Q36" s="9">
        <f>((S33/30)-INT(S33/30))*30</f>
        <v>20</v>
      </c>
    </row>
    <row r="37" spans="2:12" ht="15.75">
      <c r="B37" s="1"/>
      <c r="C37" s="1"/>
      <c r="D37" s="1"/>
      <c r="E37" s="1" t="s">
        <v>26</v>
      </c>
      <c r="F37" t="s">
        <v>51</v>
      </c>
      <c r="G37" s="1" t="str">
        <f>CONCATENATE(TEXT(G19,"##,##0.00"),"  /  6  x  ",P36)</f>
        <v>1,200.00  /  6  x  0</v>
      </c>
      <c r="I37" t="s">
        <v>51</v>
      </c>
      <c r="J37" s="39">
        <f>IF(G19&gt;0,(G19/6)*P36,0)</f>
        <v>0</v>
      </c>
      <c r="K37" s="1"/>
      <c r="L37" s="1"/>
    </row>
    <row r="38" spans="2:12" ht="15.75">
      <c r="B38" s="1"/>
      <c r="C38" s="1"/>
      <c r="D38" s="1"/>
      <c r="E38" s="40" t="s">
        <v>66</v>
      </c>
      <c r="G38" s="1"/>
      <c r="I38" t="s">
        <v>51</v>
      </c>
      <c r="J38" s="41">
        <f>J37*9%</f>
        <v>0</v>
      </c>
      <c r="K38" s="1"/>
      <c r="L38" s="1"/>
    </row>
    <row r="39" spans="2:12" ht="15.75">
      <c r="B39" s="1"/>
      <c r="C39" s="1"/>
      <c r="D39" s="1"/>
      <c r="E39" s="1" t="s">
        <v>45</v>
      </c>
      <c r="F39" s="1"/>
      <c r="G39" s="1"/>
      <c r="H39" s="1"/>
      <c r="I39" s="1"/>
      <c r="J39" s="20">
        <f>SUM(J37:J38)</f>
        <v>0</v>
      </c>
      <c r="K39" s="1"/>
      <c r="L39" s="1"/>
    </row>
    <row r="40" spans="2:12" ht="6.75" customHeight="1">
      <c r="B40" s="1"/>
      <c r="C40" s="1"/>
      <c r="D40" s="1"/>
      <c r="E40" s="1"/>
      <c r="F40" s="1"/>
      <c r="G40" s="1"/>
      <c r="H40" s="1"/>
      <c r="I40" s="1"/>
      <c r="J40" s="20"/>
      <c r="K40" s="1"/>
      <c r="L40" s="1"/>
    </row>
    <row r="41" spans="1:19" ht="15.75">
      <c r="A41" s="26">
        <v>3</v>
      </c>
      <c r="B41" s="26" t="s">
        <v>17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8"/>
      <c r="O41" s="5">
        <v>41017</v>
      </c>
      <c r="P41" t="s">
        <v>65</v>
      </c>
      <c r="Q41" t="s">
        <v>22</v>
      </c>
      <c r="R41" t="s">
        <v>23</v>
      </c>
      <c r="S41" t="s">
        <v>24</v>
      </c>
    </row>
    <row r="42" spans="2:19" ht="15.75">
      <c r="B42" s="1"/>
      <c r="C42" s="1" t="s">
        <v>53</v>
      </c>
      <c r="D42" s="1"/>
      <c r="E42" s="1"/>
      <c r="F42" t="s">
        <v>51</v>
      </c>
      <c r="G42" s="1" t="str">
        <f>CONCATENATE(P44,IF(P44=1," mes, "," meses, "),ROUND(Q44,0),IF(ROUND(Q44,0)=1," día. "," días."))</f>
        <v>3 meses, 3 días.</v>
      </c>
      <c r="H42" s="1"/>
      <c r="I42" s="1"/>
      <c r="J42" s="1"/>
      <c r="K42" s="1"/>
      <c r="L42" s="1"/>
      <c r="P42" s="6">
        <f>DATEDIF(O41,E9,"M")</f>
        <v>3</v>
      </c>
      <c r="Q42" s="38">
        <f>DAYS360(O41,E9)</f>
        <v>93</v>
      </c>
      <c r="R42" s="14"/>
      <c r="S42" s="7">
        <f>Q42-R42</f>
        <v>93</v>
      </c>
    </row>
    <row r="43" spans="2:17" ht="15.75">
      <c r="B43" s="1"/>
      <c r="C43" s="1" t="s">
        <v>32</v>
      </c>
      <c r="D43" s="1"/>
      <c r="E43" s="1"/>
      <c r="F43" t="s">
        <v>51</v>
      </c>
      <c r="G43" s="1" t="str">
        <f>CONCATENATE(R42,IF(R42=1," día."," días."))</f>
        <v> días.</v>
      </c>
      <c r="H43" s="1"/>
      <c r="I43" s="1"/>
      <c r="J43" s="1"/>
      <c r="K43" s="1"/>
      <c r="L43" s="1"/>
      <c r="P43" s="8" t="s">
        <v>26</v>
      </c>
      <c r="Q43" s="8" t="s">
        <v>27</v>
      </c>
    </row>
    <row r="44" spans="2:17" ht="15.75">
      <c r="B44" s="1"/>
      <c r="C44" s="1" t="s">
        <v>54</v>
      </c>
      <c r="D44" s="1"/>
      <c r="E44" s="1"/>
      <c r="F44" t="s">
        <v>51</v>
      </c>
      <c r="G44" s="1" t="str">
        <f>CONCATENATE(P45,IF(P45=1," mes, "," meses, "),ROUND(Q45,0),IF(ROUND(Q45,0)=1," día. "," días."))</f>
        <v>3 meses, 3 días.</v>
      </c>
      <c r="H44" s="1"/>
      <c r="I44" s="1"/>
      <c r="J44" s="1"/>
      <c r="K44" s="1"/>
      <c r="L44" s="1"/>
      <c r="O44" t="s">
        <v>30</v>
      </c>
      <c r="P44" s="9">
        <f>INT((Q42/30))</f>
        <v>3</v>
      </c>
      <c r="Q44" s="9">
        <f>((Q42/30)-INT(Q42/30))*30</f>
        <v>3.0000000000000027</v>
      </c>
    </row>
    <row r="45" spans="2:17" ht="15.75">
      <c r="B45" s="1"/>
      <c r="C45" s="1" t="str">
        <f>CONCATENATE("Del   ",TEXT(O41,"dd/mmmm/aaaa"),"   al   ",TEXT(E9,"dd/mmmm/aaaa"))</f>
        <v>Del   18/abril/miércoles   al   21/julio/sábado</v>
      </c>
      <c r="D45" s="1"/>
      <c r="E45" s="1"/>
      <c r="F45" s="1"/>
      <c r="G45" s="1"/>
      <c r="H45" s="1"/>
      <c r="I45" s="1"/>
      <c r="J45" s="1"/>
      <c r="K45" s="1"/>
      <c r="L45" s="1"/>
      <c r="O45" t="s">
        <v>31</v>
      </c>
      <c r="P45" s="9">
        <f>INT((S42/30))</f>
        <v>3</v>
      </c>
      <c r="Q45" s="9">
        <f>((S42/30)-INT(S42/30))*30</f>
        <v>3.0000000000000027</v>
      </c>
    </row>
    <row r="46" spans="2:12" ht="15.75">
      <c r="B46" s="1"/>
      <c r="C46" s="1"/>
      <c r="D46" s="1"/>
      <c r="E46" s="1" t="s">
        <v>26</v>
      </c>
      <c r="F46" t="s">
        <v>51</v>
      </c>
      <c r="G46" s="1" t="str">
        <f>CONCATENATE(TEXT(G19,"##,##0.00"),"  /  12  x  ",P45)</f>
        <v>1,200.00  /  12  x  3</v>
      </c>
      <c r="I46" t="s">
        <v>51</v>
      </c>
      <c r="J46" s="11">
        <f>IF(G19&gt;0,(G19/12)*P45,0)</f>
        <v>300</v>
      </c>
      <c r="K46" s="1"/>
      <c r="L46" s="1"/>
    </row>
    <row r="47" spans="2:12" ht="15.75">
      <c r="B47" s="1"/>
      <c r="C47" s="1"/>
      <c r="D47" s="1"/>
      <c r="E47" s="1" t="s">
        <v>27</v>
      </c>
      <c r="F47" t="s">
        <v>51</v>
      </c>
      <c r="G47" s="1" t="str">
        <f>CONCATENATE(TEXT(G19,"##,##0.00"),"  /  12  /  30  x  ",Q45)</f>
        <v>1,200.00  /  12  /  30  x  3</v>
      </c>
      <c r="H47" s="1"/>
      <c r="I47" t="s">
        <v>51</v>
      </c>
      <c r="J47" s="21">
        <f>IF(G19&gt;0,((G19/12)/30)*Q45,0)</f>
        <v>10.000000000000009</v>
      </c>
      <c r="K47" s="1"/>
      <c r="L47" s="1"/>
    </row>
    <row r="48" spans="2:12" ht="15.75">
      <c r="B48" s="1"/>
      <c r="C48" s="1"/>
      <c r="D48" s="1"/>
      <c r="E48" s="1" t="s">
        <v>46</v>
      </c>
      <c r="F48" s="1"/>
      <c r="G48" s="1"/>
      <c r="H48" s="1"/>
      <c r="I48" s="1"/>
      <c r="J48" s="20">
        <f>SUM(J46:J47)</f>
        <v>310</v>
      </c>
      <c r="K48" s="1"/>
      <c r="L48" s="1"/>
    </row>
    <row r="49" spans="1:15" ht="15.75">
      <c r="A49" s="42"/>
      <c r="B49" s="40"/>
      <c r="C49" s="40"/>
      <c r="D49" s="40"/>
      <c r="E49" s="40"/>
      <c r="F49" s="40"/>
      <c r="G49" s="40"/>
      <c r="H49" s="40"/>
      <c r="I49" s="40"/>
      <c r="J49" s="43"/>
      <c r="K49" s="40"/>
      <c r="L49" s="40"/>
      <c r="M49" s="42"/>
      <c r="N49" s="29" t="s">
        <v>67</v>
      </c>
      <c r="O49" s="5"/>
    </row>
    <row r="50" spans="1:18" ht="15.75">
      <c r="A50" s="44">
        <v>4</v>
      </c>
      <c r="B50" s="44" t="s">
        <v>68</v>
      </c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6"/>
      <c r="N50" s="47" t="s">
        <v>69</v>
      </c>
      <c r="O50" s="48"/>
      <c r="P50" s="42" t="s">
        <v>22</v>
      </c>
      <c r="Q50" s="42" t="s">
        <v>23</v>
      </c>
      <c r="R50" s="42" t="s">
        <v>24</v>
      </c>
    </row>
    <row r="51" spans="1:18" ht="15.75">
      <c r="A51" s="42"/>
      <c r="B51" s="40"/>
      <c r="C51" s="40" t="s">
        <v>53</v>
      </c>
      <c r="D51" s="40"/>
      <c r="E51" s="40"/>
      <c r="F51" s="42" t="s">
        <v>51</v>
      </c>
      <c r="G51" s="40" t="str">
        <f>CONCATENATE(P53,IF(P53=1," mes, "," meses, "),ROUND(Q53,0),IF(ROUND(Q53,0)=1," día. "," días."))</f>
        <v>0 meses, 0 días.</v>
      </c>
      <c r="H51" s="40"/>
      <c r="I51" s="40"/>
      <c r="J51" s="40"/>
      <c r="K51" s="40"/>
      <c r="L51" s="40"/>
      <c r="M51" s="42"/>
      <c r="N51" s="42"/>
      <c r="O51" s="38"/>
      <c r="P51" s="38">
        <f>DAYS360(O50,O49)</f>
        <v>0</v>
      </c>
      <c r="Q51" s="49">
        <v>0</v>
      </c>
      <c r="R51" s="50">
        <f>P51-Q51</f>
        <v>0</v>
      </c>
    </row>
    <row r="52" spans="1:18" ht="15.75">
      <c r="A52" s="42"/>
      <c r="B52" s="40"/>
      <c r="C52" s="40" t="s">
        <v>70</v>
      </c>
      <c r="D52" s="40"/>
      <c r="E52" s="40"/>
      <c r="F52" s="42" t="s">
        <v>51</v>
      </c>
      <c r="G52" s="40" t="str">
        <f>CONCATENATE(Q51,IF(Q51=1," día."," días."))</f>
        <v>0 días.</v>
      </c>
      <c r="H52" s="40"/>
      <c r="I52" s="40"/>
      <c r="J52" s="40"/>
      <c r="K52" s="40"/>
      <c r="L52" s="40"/>
      <c r="M52" s="42"/>
      <c r="N52" s="42"/>
      <c r="O52" s="42"/>
      <c r="P52" s="51" t="s">
        <v>26</v>
      </c>
      <c r="Q52" s="51" t="s">
        <v>27</v>
      </c>
      <c r="R52" s="42"/>
    </row>
    <row r="53" spans="1:18" ht="15.75">
      <c r="A53" s="42"/>
      <c r="B53" s="40"/>
      <c r="C53" s="40" t="s">
        <v>54</v>
      </c>
      <c r="D53" s="40"/>
      <c r="E53" s="40"/>
      <c r="F53" s="42" t="s">
        <v>51</v>
      </c>
      <c r="G53" s="40" t="str">
        <f>CONCATENATE(P54,IF(P54=1," mes, "," meses, "),ROUND(Q54,0),IF(ROUND(Q54,0)=1," día. "," días."))</f>
        <v>0 meses, 0 días.</v>
      </c>
      <c r="H53" s="40"/>
      <c r="I53" s="40"/>
      <c r="J53" s="40"/>
      <c r="K53" s="40"/>
      <c r="L53" s="40"/>
      <c r="M53" s="42"/>
      <c r="N53" s="42"/>
      <c r="O53" s="42" t="s">
        <v>30</v>
      </c>
      <c r="P53" s="52">
        <f>INT((P51/30))</f>
        <v>0</v>
      </c>
      <c r="Q53" s="52">
        <f>((P51/30)-INT(P51/30))*30</f>
        <v>0</v>
      </c>
      <c r="R53" s="42"/>
    </row>
    <row r="54" spans="1:18" ht="15.75">
      <c r="A54" s="42"/>
      <c r="B54" s="40"/>
      <c r="C54" s="40">
        <f>IF(O49&gt;0,CONCATENATE("Del   ",TEXT(O50,"dd/mmmm/aaaa"),"   al   ",TEXT(O49,"dd/mmmm/aaaa")),"")</f>
      </c>
      <c r="D54" s="40"/>
      <c r="E54" s="40"/>
      <c r="F54" s="40"/>
      <c r="G54" s="40"/>
      <c r="H54" s="40"/>
      <c r="I54" s="40"/>
      <c r="J54" s="40"/>
      <c r="K54" s="40"/>
      <c r="L54" s="40"/>
      <c r="M54" s="42"/>
      <c r="N54" s="42"/>
      <c r="O54" s="42" t="s">
        <v>31</v>
      </c>
      <c r="P54" s="52">
        <f>INT((R51/30))</f>
        <v>0</v>
      </c>
      <c r="Q54" s="52">
        <f>((R51/30)-INT(R51/30))*30</f>
        <v>0</v>
      </c>
      <c r="R54" s="42"/>
    </row>
    <row r="55" spans="1:21" ht="15.75">
      <c r="A55" s="42"/>
      <c r="B55" s="40"/>
      <c r="C55" s="40"/>
      <c r="D55" s="40"/>
      <c r="E55" s="40" t="s">
        <v>26</v>
      </c>
      <c r="F55" s="42" t="s">
        <v>51</v>
      </c>
      <c r="G55" s="40" t="str">
        <f>CONCATENATE(TEXT(G29,"##,##0.00"),"  /  12  x  ",P54)</f>
        <v>1,400.00  /  12  /  30  x  21  /  12  x  0</v>
      </c>
      <c r="H55" s="42"/>
      <c r="I55" s="42" t="s">
        <v>51</v>
      </c>
      <c r="J55" s="53">
        <f>IF(G20&gt;0,(G20/12)*P54,0)</f>
        <v>0</v>
      </c>
      <c r="K55" s="40"/>
      <c r="L55" s="40"/>
      <c r="M55" s="42"/>
      <c r="N55" s="42"/>
      <c r="O55" s="42"/>
      <c r="P55" s="42"/>
      <c r="Q55" s="42"/>
      <c r="R55" s="42"/>
      <c r="S55" s="42"/>
      <c r="T55" s="42"/>
      <c r="U55" s="42"/>
    </row>
    <row r="56" spans="1:21" ht="15.75">
      <c r="A56" s="42"/>
      <c r="B56" s="40"/>
      <c r="C56" s="40"/>
      <c r="D56" s="40"/>
      <c r="E56" s="40" t="s">
        <v>27</v>
      </c>
      <c r="F56" s="42" t="s">
        <v>51</v>
      </c>
      <c r="G56" s="40" t="str">
        <f>CONCATENATE(TEXT(G29,"##,##0.00"),"  /  12  /  30  x  ",Q54)</f>
        <v>1,400.00  /  12  /  30  x  21  /  12  /  30  x  0</v>
      </c>
      <c r="H56" s="40"/>
      <c r="I56" s="42" t="s">
        <v>51</v>
      </c>
      <c r="J56" s="41">
        <f>IF(G20&gt;0,((G20/12)/30)*Q54,0)</f>
        <v>0</v>
      </c>
      <c r="K56" s="40"/>
      <c r="L56" s="40"/>
      <c r="M56" s="42"/>
      <c r="N56" s="42"/>
      <c r="O56" s="42"/>
      <c r="P56" s="42"/>
      <c r="Q56" s="42"/>
      <c r="R56" s="42"/>
      <c r="S56" s="42"/>
      <c r="T56" s="42"/>
      <c r="U56" s="42"/>
    </row>
    <row r="57" spans="1:21" ht="15.75">
      <c r="A57" s="42"/>
      <c r="B57" s="40"/>
      <c r="C57" s="40"/>
      <c r="D57" s="40"/>
      <c r="E57" s="40" t="s">
        <v>46</v>
      </c>
      <c r="F57" s="40"/>
      <c r="G57" s="40"/>
      <c r="H57" s="40"/>
      <c r="I57" s="40"/>
      <c r="J57" s="43">
        <f>SUM(J55:J56)</f>
        <v>0</v>
      </c>
      <c r="K57" s="40"/>
      <c r="L57" s="40"/>
      <c r="M57" s="42"/>
      <c r="N57" s="42"/>
      <c r="O57" s="42"/>
      <c r="P57" s="42"/>
      <c r="Q57" s="42"/>
      <c r="R57" s="42"/>
      <c r="S57" s="42"/>
      <c r="T57" s="42"/>
      <c r="U57" s="42"/>
    </row>
    <row r="58" spans="2:12" ht="6.75" customHeight="1">
      <c r="B58" s="1"/>
      <c r="C58" s="1"/>
      <c r="D58" s="1"/>
      <c r="E58" s="1"/>
      <c r="F58" s="1"/>
      <c r="G58" s="1"/>
      <c r="H58" s="1"/>
      <c r="I58" s="1"/>
      <c r="J58" s="20"/>
      <c r="K58" s="1"/>
      <c r="L58" s="1"/>
    </row>
    <row r="59" spans="1:13" ht="15.75">
      <c r="A59" s="26">
        <v>5</v>
      </c>
      <c r="B59" s="26" t="s">
        <v>18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8"/>
    </row>
    <row r="60" spans="2:12" ht="15.75">
      <c r="B60" s="1"/>
      <c r="C60" s="1" t="str">
        <f>IF(E10&gt;"",CONCATENATE(E10," - ",VLOOKUP(E10,PENSIONES,2,0)*100,"%"),"")</f>
        <v>HORIZONTE - 13.06%</v>
      </c>
      <c r="D60" s="1"/>
      <c r="E60" s="1"/>
      <c r="F60" s="1"/>
      <c r="G60" s="1"/>
      <c r="H60" s="1"/>
      <c r="I60" s="1"/>
      <c r="J60" s="11">
        <f>(J48+J57)*VLOOKUP(E10,PENSIONES,2,0)</f>
        <v>40.486</v>
      </c>
      <c r="K60" s="1"/>
      <c r="L60" s="1"/>
    </row>
    <row r="61" spans="2:12" ht="15.75">
      <c r="B61" s="1"/>
      <c r="C61" s="1" t="s">
        <v>19</v>
      </c>
      <c r="D61" s="1"/>
      <c r="E61" s="1" t="s">
        <v>48</v>
      </c>
      <c r="F61" s="1"/>
      <c r="G61" s="1"/>
      <c r="H61" s="1"/>
      <c r="I61" s="1"/>
      <c r="J61" s="11"/>
      <c r="K61" s="1"/>
      <c r="L61" s="1"/>
    </row>
    <row r="62" spans="2:12" ht="15.75">
      <c r="B62" s="1"/>
      <c r="C62" s="1"/>
      <c r="D62" s="1"/>
      <c r="E62" s="1" t="s">
        <v>48</v>
      </c>
      <c r="F62" s="1"/>
      <c r="G62" s="1"/>
      <c r="H62" s="1"/>
      <c r="I62" s="1"/>
      <c r="J62" s="21"/>
      <c r="K62" s="1"/>
      <c r="L62" s="1"/>
    </row>
    <row r="63" spans="2:12" ht="15.75">
      <c r="B63" s="1"/>
      <c r="C63" s="1"/>
      <c r="D63" s="1"/>
      <c r="E63" s="1" t="s">
        <v>47</v>
      </c>
      <c r="F63" s="1"/>
      <c r="G63" s="1"/>
      <c r="H63" s="1"/>
      <c r="I63" s="1"/>
      <c r="J63" s="20">
        <f>SUM(J60:J62)</f>
        <v>40.486</v>
      </c>
      <c r="K63" s="1"/>
      <c r="L63" s="1"/>
    </row>
    <row r="64" spans="2:12" ht="6.75" customHeight="1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2:12" ht="16.5" thickBot="1">
      <c r="B65" s="2" t="s">
        <v>49</v>
      </c>
      <c r="C65" s="1"/>
      <c r="D65" s="1"/>
      <c r="E65" s="1"/>
      <c r="F65" s="1"/>
      <c r="G65" s="1"/>
      <c r="H65" s="1"/>
      <c r="I65" s="1"/>
      <c r="J65" s="22">
        <f>J30+J39+J48-J63</f>
        <v>584.514</v>
      </c>
      <c r="K65" s="1"/>
      <c r="L65" s="1"/>
    </row>
    <row r="66" spans="2:12" ht="7.5" customHeight="1" thickTop="1">
      <c r="B66" s="2"/>
      <c r="C66" s="1"/>
      <c r="D66" s="1"/>
      <c r="E66" s="1"/>
      <c r="F66" s="1"/>
      <c r="G66" s="1"/>
      <c r="H66" s="1"/>
      <c r="I66" s="1"/>
      <c r="J66" s="23"/>
      <c r="K66" s="1"/>
      <c r="L66" s="1"/>
    </row>
    <row r="67" spans="2:12" ht="15.75">
      <c r="B67" s="30" t="s">
        <v>50</v>
      </c>
      <c r="C67" s="1" t="str">
        <f>IF(J65&gt;0,Num_Texto(J65),"")</f>
        <v>QUINIENTOS OCHENTA Y CUATRO y 51/100 NUEVOS SOLES</v>
      </c>
      <c r="D67" s="1"/>
      <c r="E67" s="1"/>
      <c r="F67" s="1"/>
      <c r="G67" s="1"/>
      <c r="H67" s="1"/>
      <c r="I67" s="1"/>
      <c r="J67" s="23"/>
      <c r="K67" s="1"/>
      <c r="L67" s="1"/>
    </row>
    <row r="68" spans="2:12" ht="11.25" customHeight="1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3" ht="33.75" customHeight="1">
      <c r="A69" s="89" t="s">
        <v>55</v>
      </c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3" ht="15.75">
      <c r="A71" s="1"/>
      <c r="B71" s="1"/>
      <c r="C71" s="1"/>
      <c r="D71" s="1"/>
      <c r="E71" s="1"/>
      <c r="F71" s="1"/>
      <c r="G71" s="1"/>
      <c r="H71" s="1"/>
      <c r="I71" s="1"/>
      <c r="J71" s="29" t="s">
        <v>58</v>
      </c>
      <c r="K71" s="91">
        <f>P11</f>
        <v>0</v>
      </c>
      <c r="L71" s="91"/>
      <c r="M71" s="9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5" spans="3:12" ht="12.75">
      <c r="C75" s="24"/>
      <c r="D75" s="24"/>
      <c r="E75" s="24"/>
      <c r="F75" s="24"/>
      <c r="G75" s="24"/>
      <c r="J75" s="24"/>
      <c r="K75" s="24"/>
      <c r="L75" s="24"/>
    </row>
    <row r="76" spans="3:12" ht="12.75">
      <c r="C76" s="87" t="str">
        <f>IF(E3&gt;"",E3,"")</f>
        <v>HUACHO LIMA AURELIO</v>
      </c>
      <c r="D76" s="87"/>
      <c r="E76" s="87"/>
      <c r="F76" s="87"/>
      <c r="G76" s="87"/>
      <c r="J76" s="87" t="s">
        <v>56</v>
      </c>
      <c r="K76" s="87"/>
      <c r="L76" s="87"/>
    </row>
    <row r="77" spans="3:7" ht="12.75">
      <c r="C77" s="88" t="str">
        <f>CONCATENATE("DNI Nº : ",IF(E4&gt;0,E4,""))</f>
        <v>DNI Nº : </v>
      </c>
      <c r="D77" s="88"/>
      <c r="E77" s="88"/>
      <c r="F77" s="88"/>
      <c r="G77" s="88"/>
    </row>
    <row r="81" ht="12.75">
      <c r="A81" s="33" t="s">
        <v>60</v>
      </c>
    </row>
    <row r="82" spans="2:5" ht="12.75">
      <c r="B82" t="s">
        <v>61</v>
      </c>
      <c r="C82" s="34">
        <v>0.09</v>
      </c>
      <c r="E82" s="36">
        <f>IF((J57+J48)&gt;600,(J57+J48)*C82,600*C82)</f>
        <v>54</v>
      </c>
    </row>
    <row r="83" spans="2:5" ht="12.75">
      <c r="B83" t="s">
        <v>62</v>
      </c>
      <c r="C83" s="35">
        <v>0.0184</v>
      </c>
      <c r="E83" s="36">
        <f>(J57+J48)*C83</f>
        <v>5.704</v>
      </c>
    </row>
  </sheetData>
  <sheetProtection/>
  <mergeCells count="6">
    <mergeCell ref="A1:M1"/>
    <mergeCell ref="A69:M69"/>
    <mergeCell ref="K71:M71"/>
    <mergeCell ref="C76:G76"/>
    <mergeCell ref="J76:L76"/>
    <mergeCell ref="C77:G77"/>
  </mergeCells>
  <dataValidations count="1">
    <dataValidation type="list" allowBlank="1" showInputMessage="1" showErrorMessage="1" sqref="E10:F10">
      <formula1>PENSION</formula1>
    </dataValidation>
  </dataValidations>
  <printOptions/>
  <pageMargins left="0.7086614173228347" right="0.5118110236220472" top="0.5511811023622047" bottom="0.5511811023622047" header="0.31496062992125984" footer="0.31496062992125984"/>
  <pageSetup horizontalDpi="600" verticalDpi="600" orientation="portrait" paperSize="9" scale="7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1"/>
  <sheetViews>
    <sheetView zoomScalePageLayoutView="0" workbookViewId="0" topLeftCell="A1">
      <selection activeCell="A1" sqref="A1:M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:M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6"/>
  <dimension ref="A1:O2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H15" sqref="H15"/>
    </sheetView>
  </sheetViews>
  <sheetFormatPr defaultColWidth="0" defaultRowHeight="12.75" zeroHeight="1"/>
  <cols>
    <col min="1" max="1" width="21.7109375" style="0" customWidth="1"/>
    <col min="2" max="2" width="37.421875" style="0" customWidth="1"/>
    <col min="3" max="3" width="3.421875" style="0" customWidth="1"/>
    <col min="4" max="4" width="21.28125" style="0" customWidth="1"/>
    <col min="5" max="5" width="11.421875" style="0" customWidth="1"/>
    <col min="6" max="8" width="9.8515625" style="0" customWidth="1"/>
    <col min="9" max="15" width="7.7109375" style="0" customWidth="1"/>
    <col min="16" max="16384" width="11.421875" style="0" hidden="1" customWidth="1"/>
  </cols>
  <sheetData>
    <row r="1" spans="1:15" ht="18">
      <c r="A1" s="57" t="s">
        <v>73</v>
      </c>
      <c r="B1" s="58"/>
      <c r="D1" s="57" t="s">
        <v>85</v>
      </c>
      <c r="E1" s="58"/>
      <c r="F1" s="58"/>
      <c r="G1" s="58"/>
      <c r="H1" s="58"/>
      <c r="I1" s="58"/>
      <c r="J1" s="58"/>
      <c r="K1" s="58"/>
      <c r="L1" s="58"/>
      <c r="M1" s="58"/>
      <c r="N1" s="58"/>
      <c r="O1" s="92" t="s">
        <v>93</v>
      </c>
    </row>
    <row r="2" spans="1:15" ht="15.75" customHeight="1">
      <c r="A2" s="56" t="s">
        <v>1</v>
      </c>
      <c r="B2" s="71" t="s">
        <v>76</v>
      </c>
      <c r="D2" s="94" t="s">
        <v>89</v>
      </c>
      <c r="E2" s="94" t="s">
        <v>90</v>
      </c>
      <c r="F2" s="94" t="s">
        <v>87</v>
      </c>
      <c r="G2" s="94" t="s">
        <v>86</v>
      </c>
      <c r="H2" s="94" t="s">
        <v>88</v>
      </c>
      <c r="I2" s="70" t="s">
        <v>53</v>
      </c>
      <c r="J2" s="58"/>
      <c r="K2" s="58"/>
      <c r="L2" s="70" t="s">
        <v>54</v>
      </c>
      <c r="M2" s="58"/>
      <c r="N2" s="58"/>
      <c r="O2" s="92"/>
    </row>
    <row r="3" spans="1:15" ht="15.75">
      <c r="A3" s="56" t="s">
        <v>59</v>
      </c>
      <c r="B3" s="72" t="s">
        <v>84</v>
      </c>
      <c r="D3" s="94"/>
      <c r="E3" s="94"/>
      <c r="F3" s="94"/>
      <c r="G3" s="94"/>
      <c r="H3" s="94"/>
      <c r="I3" s="62" t="s">
        <v>25</v>
      </c>
      <c r="J3" s="62" t="s">
        <v>26</v>
      </c>
      <c r="K3" s="62" t="s">
        <v>27</v>
      </c>
      <c r="L3" s="62" t="s">
        <v>25</v>
      </c>
      <c r="M3" s="62" t="s">
        <v>26</v>
      </c>
      <c r="N3" s="62" t="s">
        <v>27</v>
      </c>
      <c r="O3" s="93"/>
    </row>
    <row r="4" spans="1:14" ht="15.75">
      <c r="A4" s="56" t="s">
        <v>2</v>
      </c>
      <c r="B4" s="71" t="s">
        <v>77</v>
      </c>
      <c r="D4" s="61" t="s">
        <v>33</v>
      </c>
      <c r="E4" s="76">
        <v>41648</v>
      </c>
      <c r="F4" s="63">
        <f>IF(E4&gt;0,DAYS360(E4,B8+1),0)</f>
        <v>90</v>
      </c>
      <c r="G4" s="77"/>
      <c r="H4" s="64">
        <f>IF(AND(F4&gt;0,F4&gt;G4),F4-G4,0)</f>
        <v>90</v>
      </c>
      <c r="I4" s="59">
        <f>INT(IF(F4&gt;360,F4/360,0))</f>
        <v>0</v>
      </c>
      <c r="J4" s="59">
        <f>INT((F4/30)-(12*I4))</f>
        <v>3</v>
      </c>
      <c r="K4" s="59">
        <f>((F4/30)-INT(F4/30))*30</f>
        <v>0</v>
      </c>
      <c r="L4" s="59">
        <f>INT(IF(H4&gt;360,H4/360,0))</f>
        <v>0</v>
      </c>
      <c r="M4" s="59">
        <f>INT((H4/30)-(12*L4))</f>
        <v>3</v>
      </c>
      <c r="N4" s="59">
        <f>((H4/30)-INT(H4/30))*30</f>
        <v>0</v>
      </c>
    </row>
    <row r="5" spans="1:15" ht="15.75">
      <c r="A5" s="56" t="s">
        <v>3</v>
      </c>
      <c r="B5" s="71" t="s">
        <v>78</v>
      </c>
      <c r="D5" s="60" t="s">
        <v>83</v>
      </c>
      <c r="E5" s="73">
        <v>41648</v>
      </c>
      <c r="F5" s="63">
        <f>IF(E5&gt;0,DAYS360(E5,B8+1),0)</f>
        <v>90</v>
      </c>
      <c r="G5" s="78"/>
      <c r="H5" s="64">
        <f>IF(AND(F5&gt;0,F5&gt;G5),F5-G5-O5,0)</f>
        <v>60</v>
      </c>
      <c r="I5" s="59">
        <f>INT(IF(F5&gt;360,F5/360,0))</f>
        <v>0</v>
      </c>
      <c r="J5" s="59">
        <f>INT((F5/30)-(12*I5)-(O5/360))</f>
        <v>2</v>
      </c>
      <c r="K5" s="59">
        <f>((F5/30)-INT(F5/30))*30</f>
        <v>0</v>
      </c>
      <c r="L5" s="59">
        <f>INT(IF(H5&gt;360,H5/360,0))</f>
        <v>0</v>
      </c>
      <c r="M5" s="59">
        <f>INT((H5/30)-(12*L5))</f>
        <v>2</v>
      </c>
      <c r="N5" s="59">
        <f>((H5/30)-INT(H5/30))*30</f>
        <v>0</v>
      </c>
      <c r="O5" s="78">
        <v>30</v>
      </c>
    </row>
    <row r="6" spans="1:14" ht="15.75">
      <c r="A6" s="56" t="s">
        <v>4</v>
      </c>
      <c r="B6" s="71" t="s">
        <v>79</v>
      </c>
      <c r="D6" s="60" t="s">
        <v>82</v>
      </c>
      <c r="E6" s="73">
        <v>41648</v>
      </c>
      <c r="F6" s="63">
        <f>IF(E6&gt;0,DAYS360(E6,B8+1),0)</f>
        <v>90</v>
      </c>
      <c r="G6" s="78"/>
      <c r="H6" s="64">
        <f>IF(AND(F6&gt;0,F6&gt;G6),F6-G6,0)</f>
        <v>90</v>
      </c>
      <c r="I6" s="59">
        <f>INT(IF(F6&gt;360,F6/360,0))</f>
        <v>0</v>
      </c>
      <c r="J6" s="59">
        <f>INT((F6/30)-(12*I6))</f>
        <v>3</v>
      </c>
      <c r="K6" s="59">
        <f>((F6/30)-INT(F6/30))*30</f>
        <v>0</v>
      </c>
      <c r="L6" s="59">
        <f>INT(IF(H6&gt;360,H6/360,0))</f>
        <v>0</v>
      </c>
      <c r="M6" s="59">
        <f>INT((H6/30)-(12*L6))</f>
        <v>3</v>
      </c>
      <c r="N6" s="59">
        <f>((H6/30)-INT(H6/30))*30</f>
        <v>0</v>
      </c>
    </row>
    <row r="7" spans="1:5" ht="15.75">
      <c r="A7" s="56" t="s">
        <v>5</v>
      </c>
      <c r="B7" s="73">
        <v>41648</v>
      </c>
      <c r="E7" s="62" t="s">
        <v>91</v>
      </c>
    </row>
    <row r="8" spans="1:14" ht="15.75">
      <c r="A8" s="56" t="s">
        <v>6</v>
      </c>
      <c r="B8" s="73">
        <v>41737</v>
      </c>
      <c r="D8" s="60" t="s">
        <v>81</v>
      </c>
      <c r="E8" s="73"/>
      <c r="F8" s="68">
        <f>IF(E8&gt;0,DAYS360(B7,E8+1),0)</f>
        <v>0</v>
      </c>
      <c r="G8" s="78"/>
      <c r="H8" s="69">
        <f>IF(AND(F8&gt;0,F8&gt;G8),F8-G8,0)</f>
        <v>0</v>
      </c>
      <c r="I8" s="59">
        <f>INT(IF(F8&gt;360,F8/360,0))</f>
        <v>0</v>
      </c>
      <c r="J8" s="59">
        <f>INT((F8/30)-(12*I8))</f>
        <v>0</v>
      </c>
      <c r="K8" s="59">
        <f>((F8/30)-INT(F8/30))*30</f>
        <v>0</v>
      </c>
      <c r="L8" s="59">
        <f>INT(IF(H8&gt;360,H8/360,0))</f>
        <v>0</v>
      </c>
      <c r="M8" s="59">
        <f>INT((H8/30)-(12*L8))</f>
        <v>0</v>
      </c>
      <c r="N8" s="59">
        <f>((H8/30)-INT(H8/30))*30</f>
        <v>0</v>
      </c>
    </row>
    <row r="9" spans="1:2" ht="15.75">
      <c r="A9" s="56" t="s">
        <v>75</v>
      </c>
      <c r="B9" s="73">
        <v>41310</v>
      </c>
    </row>
    <row r="10" spans="1:2" ht="15.75">
      <c r="A10" s="56" t="s">
        <v>35</v>
      </c>
      <c r="B10" s="71" t="s">
        <v>40</v>
      </c>
    </row>
    <row r="11" spans="1:6" ht="15.75">
      <c r="A11" s="56" t="s">
        <v>41</v>
      </c>
      <c r="B11" s="74"/>
      <c r="D11" s="79" t="s">
        <v>92</v>
      </c>
      <c r="F11" s="80"/>
    </row>
    <row r="12" spans="1:2" ht="15.75">
      <c r="A12" s="56" t="s">
        <v>42</v>
      </c>
      <c r="B12" s="74">
        <v>1800</v>
      </c>
    </row>
    <row r="13" spans="1:2" ht="15.75">
      <c r="A13" s="56" t="s">
        <v>80</v>
      </c>
      <c r="B13" s="74">
        <v>208.33</v>
      </c>
    </row>
    <row r="14" spans="1:2" ht="15.75">
      <c r="A14" s="56" t="s">
        <v>11</v>
      </c>
      <c r="B14" s="74"/>
    </row>
    <row r="15" spans="1:2" ht="15.75">
      <c r="A15" s="56" t="s">
        <v>13</v>
      </c>
      <c r="B15" s="74"/>
    </row>
    <row r="16" spans="1:2" ht="15.75">
      <c r="A16" s="56" t="s">
        <v>19</v>
      </c>
      <c r="B16" s="74"/>
    </row>
    <row r="17" spans="1:2" ht="15.75">
      <c r="A17" s="56" t="s">
        <v>72</v>
      </c>
      <c r="B17" s="74">
        <v>75</v>
      </c>
    </row>
    <row r="18" ht="6.75" customHeight="1"/>
    <row r="19" spans="1:2" ht="18">
      <c r="A19" s="57" t="s">
        <v>74</v>
      </c>
      <c r="B19" s="58"/>
    </row>
    <row r="20" spans="1:2" ht="12.75">
      <c r="A20" s="71" t="s">
        <v>36</v>
      </c>
      <c r="B20" s="75">
        <v>0.13</v>
      </c>
    </row>
    <row r="21" spans="1:2" ht="12.75">
      <c r="A21" s="71" t="s">
        <v>37</v>
      </c>
      <c r="B21" s="75">
        <v>0.1323</v>
      </c>
    </row>
    <row r="22" spans="1:2" ht="12.75">
      <c r="A22" s="71" t="s">
        <v>38</v>
      </c>
      <c r="B22" s="75">
        <v>0.1283</v>
      </c>
    </row>
    <row r="23" spans="1:2" ht="12.75">
      <c r="A23" s="71" t="s">
        <v>39</v>
      </c>
      <c r="B23" s="75">
        <v>0.1281</v>
      </c>
    </row>
    <row r="24" spans="1:2" ht="12.75">
      <c r="A24" s="71" t="s">
        <v>40</v>
      </c>
      <c r="B24" s="75">
        <v>0.1351</v>
      </c>
    </row>
    <row r="25" spans="1:2" ht="12.75">
      <c r="A25" s="71"/>
      <c r="B25" s="75"/>
    </row>
    <row r="26" spans="1:2" ht="12.75">
      <c r="A26" s="71"/>
      <c r="B26" s="75"/>
    </row>
    <row r="27" ht="12.75"/>
  </sheetData>
  <sheetProtection/>
  <mergeCells count="6">
    <mergeCell ref="O1:O3"/>
    <mergeCell ref="D2:D3"/>
    <mergeCell ref="E2:E3"/>
    <mergeCell ref="F2:F3"/>
    <mergeCell ref="G2:G3"/>
    <mergeCell ref="H2:H3"/>
  </mergeCells>
  <dataValidations count="1">
    <dataValidation type="list" allowBlank="1" showInputMessage="1" showErrorMessage="1" sqref="B10">
      <formula1>$A$20:$A$26</formula1>
    </dataValidation>
  </dataValidations>
  <printOptions/>
  <pageMargins left="0.7" right="0.7" top="0.75" bottom="0.75" header="0.3" footer="0.3"/>
  <pageSetup orientation="portrait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L75"/>
  <sheetViews>
    <sheetView showGridLines="0" zoomScalePageLayoutView="0" workbookViewId="0" topLeftCell="A1">
      <selection activeCell="G31" sqref="G31"/>
    </sheetView>
  </sheetViews>
  <sheetFormatPr defaultColWidth="0" defaultRowHeight="12.75" zeroHeight="1"/>
  <cols>
    <col min="1" max="1" width="3.421875" style="0" customWidth="1"/>
    <col min="2" max="2" width="11.421875" style="0" customWidth="1"/>
    <col min="3" max="3" width="9.00390625" style="0" customWidth="1"/>
    <col min="4" max="4" width="1.1484375" style="0" customWidth="1"/>
    <col min="5" max="5" width="11.421875" style="0" customWidth="1"/>
    <col min="6" max="6" width="1.1484375" style="0" customWidth="1"/>
    <col min="7" max="7" width="11.421875" style="0" customWidth="1"/>
    <col min="8" max="8" width="13.8515625" style="0" customWidth="1"/>
    <col min="9" max="9" width="1.1484375" style="0" customWidth="1"/>
    <col min="10" max="13" width="11.421875" style="0" customWidth="1"/>
    <col min="14" max="14" width="1.1484375" style="0" customWidth="1"/>
    <col min="15" max="16384" width="0" style="0" hidden="1" customWidth="1"/>
  </cols>
  <sheetData>
    <row r="1" spans="1:14" ht="15.7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65"/>
    </row>
    <row r="2" ht="6.75" customHeight="1"/>
    <row r="3" spans="1:5" ht="15.75">
      <c r="A3" s="1" t="s">
        <v>1</v>
      </c>
      <c r="D3" t="s">
        <v>51</v>
      </c>
      <c r="E3" t="str">
        <f>IF(Datos!B2&gt;"",Datos!B2,"")</f>
        <v>Juan Alberto Perez Nones</v>
      </c>
    </row>
    <row r="4" spans="1:8" ht="15.75">
      <c r="A4" s="1" t="s">
        <v>59</v>
      </c>
      <c r="D4" t="s">
        <v>51</v>
      </c>
      <c r="E4" t="str">
        <f>IF(Datos!B3&gt;"",Datos!B3,"")</f>
        <v>02345678</v>
      </c>
      <c r="H4" s="31"/>
    </row>
    <row r="5" spans="1:8" ht="15.75">
      <c r="A5" s="1" t="s">
        <v>2</v>
      </c>
      <c r="B5" s="1"/>
      <c r="C5" s="1"/>
      <c r="D5" t="s">
        <v>51</v>
      </c>
      <c r="E5" t="str">
        <f>IF(Datos!B4&gt;"",Datos!B4,"")</f>
        <v>Empleado</v>
      </c>
      <c r="F5" s="1"/>
      <c r="G5" s="1"/>
      <c r="H5" s="31"/>
    </row>
    <row r="6" spans="1:8" ht="15.75">
      <c r="A6" s="1" t="s">
        <v>3</v>
      </c>
      <c r="B6" s="1"/>
      <c r="C6" s="1"/>
      <c r="D6" t="s">
        <v>51</v>
      </c>
      <c r="E6" t="str">
        <f>IF(Datos!B5&gt;"",Datos!B5,"")</f>
        <v>Contratado</v>
      </c>
      <c r="F6" s="1"/>
      <c r="G6" s="1"/>
      <c r="H6" s="31"/>
    </row>
    <row r="7" spans="1:7" ht="15.75">
      <c r="A7" s="1" t="s">
        <v>4</v>
      </c>
      <c r="B7" s="1"/>
      <c r="C7" s="1"/>
      <c r="D7" t="s">
        <v>51</v>
      </c>
      <c r="E7" t="str">
        <f>IF(Datos!B6&gt;"",Datos!B6,"")</f>
        <v>Renuncia Voluntaria</v>
      </c>
      <c r="F7" s="1"/>
      <c r="G7" s="1"/>
    </row>
    <row r="8" spans="1:7" ht="15.75">
      <c r="A8" s="1" t="s">
        <v>5</v>
      </c>
      <c r="B8" s="1"/>
      <c r="C8" s="1"/>
      <c r="D8" t="s">
        <v>51</v>
      </c>
      <c r="E8" s="31">
        <f>IF(Datos!B7&gt;0,Datos!B7,"")</f>
        <v>41648</v>
      </c>
      <c r="F8" s="10"/>
      <c r="G8" s="1"/>
    </row>
    <row r="9" spans="1:7" ht="15.75">
      <c r="A9" s="1" t="s">
        <v>6</v>
      </c>
      <c r="B9" s="1"/>
      <c r="C9" s="1"/>
      <c r="D9" t="s">
        <v>51</v>
      </c>
      <c r="E9" s="31">
        <f>IF(Datos!B8&gt;0,Datos!B8,"")</f>
        <v>41737</v>
      </c>
      <c r="F9" s="37"/>
      <c r="G9" s="37"/>
    </row>
    <row r="10" spans="1:7" ht="15.75">
      <c r="A10" s="1" t="s">
        <v>35</v>
      </c>
      <c r="B10" s="1"/>
      <c r="C10" s="1"/>
      <c r="D10" t="s">
        <v>51</v>
      </c>
      <c r="E10" s="31" t="str">
        <f>IF(Datos!B10&gt;0,Datos!B10,"")</f>
        <v>PROFUTURO</v>
      </c>
      <c r="F10" s="10"/>
      <c r="G10" s="10"/>
    </row>
    <row r="11" spans="1:7" ht="15.75">
      <c r="A11" s="1" t="s">
        <v>8</v>
      </c>
      <c r="B11" s="1"/>
      <c r="C11" s="1"/>
      <c r="D11" s="1"/>
      <c r="E11" s="19" t="s">
        <v>33</v>
      </c>
      <c r="F11" s="19"/>
      <c r="G11" s="19" t="s">
        <v>34</v>
      </c>
    </row>
    <row r="12" spans="1:7" ht="15.75">
      <c r="A12" s="1"/>
      <c r="B12" s="1" t="s">
        <v>9</v>
      </c>
      <c r="C12" s="1"/>
      <c r="D12" t="s">
        <v>51</v>
      </c>
      <c r="E12" s="11">
        <f>IF(Datos!B11&gt;0,Datos!B11*30,Datos!B12)</f>
        <v>1800</v>
      </c>
      <c r="F12" s="11"/>
      <c r="G12" s="11">
        <f aca="true" t="shared" si="0" ref="G12:G17">E12</f>
        <v>1800</v>
      </c>
    </row>
    <row r="13" spans="1:7" ht="15.75">
      <c r="A13" s="1"/>
      <c r="B13" s="1" t="s">
        <v>10</v>
      </c>
      <c r="C13" s="1"/>
      <c r="D13" t="s">
        <v>51</v>
      </c>
      <c r="E13" s="11"/>
      <c r="F13" s="11"/>
      <c r="G13" s="11">
        <f t="shared" si="0"/>
        <v>0</v>
      </c>
    </row>
    <row r="14" spans="1:7" ht="15.75">
      <c r="A14" s="1"/>
      <c r="B14" s="1" t="s">
        <v>11</v>
      </c>
      <c r="C14" s="1"/>
      <c r="D14" t="s">
        <v>51</v>
      </c>
      <c r="E14" s="11">
        <f>IF(Datos!B14&gt;0,Datos!B14,0)</f>
        <v>0</v>
      </c>
      <c r="F14" s="11"/>
      <c r="G14" s="11">
        <f t="shared" si="0"/>
        <v>0</v>
      </c>
    </row>
    <row r="15" spans="1:7" ht="15.75">
      <c r="A15" s="1"/>
      <c r="B15" s="1" t="s">
        <v>12</v>
      </c>
      <c r="C15" s="1"/>
      <c r="D15" t="s">
        <v>51</v>
      </c>
      <c r="E15" s="11">
        <f>IF(Datos!B17&gt;0,Datos!B17,0)</f>
        <v>75</v>
      </c>
      <c r="F15" s="11"/>
      <c r="G15" s="11">
        <f t="shared" si="0"/>
        <v>75</v>
      </c>
    </row>
    <row r="16" spans="1:7" ht="15.75">
      <c r="A16" s="1"/>
      <c r="B16" s="1" t="s">
        <v>13</v>
      </c>
      <c r="C16" s="1"/>
      <c r="D16" t="s">
        <v>51</v>
      </c>
      <c r="E16" s="11">
        <f>IF(Datos!B15&gt;0,Datos!B15,0)</f>
        <v>0</v>
      </c>
      <c r="F16" s="11"/>
      <c r="G16" s="11">
        <f t="shared" si="0"/>
        <v>0</v>
      </c>
    </row>
    <row r="17" spans="1:7" ht="15.75">
      <c r="A17" s="1"/>
      <c r="B17" s="1" t="s">
        <v>19</v>
      </c>
      <c r="C17" s="32"/>
      <c r="D17" t="s">
        <v>51</v>
      </c>
      <c r="E17" s="11">
        <f>IF(Datos!B16&gt;0,Datos!B16,0)</f>
        <v>0</v>
      </c>
      <c r="F17" s="11"/>
      <c r="G17" s="11">
        <f t="shared" si="0"/>
        <v>0</v>
      </c>
    </row>
    <row r="18" spans="1:7" ht="15.75">
      <c r="A18" s="1"/>
      <c r="B18" s="1" t="s">
        <v>14</v>
      </c>
      <c r="C18" s="32"/>
      <c r="D18" t="s">
        <v>51</v>
      </c>
      <c r="E18" s="11">
        <f>IF(Datos!B13&gt;0,Datos!B13,0)</f>
        <v>208.33</v>
      </c>
      <c r="F18" s="11"/>
      <c r="G18" s="15"/>
    </row>
    <row r="19" spans="1:15" ht="16.5" thickBot="1">
      <c r="A19" s="1"/>
      <c r="B19" s="1" t="s">
        <v>20</v>
      </c>
      <c r="C19" s="32"/>
      <c r="D19" s="1"/>
      <c r="E19" s="12">
        <f>SUM(E12:E18)</f>
        <v>2083.33</v>
      </c>
      <c r="F19" s="12"/>
      <c r="G19" s="12">
        <f>SUM(G12:G17)</f>
        <v>1875</v>
      </c>
      <c r="O19" s="8"/>
    </row>
    <row r="20" spans="15:38" ht="6.75" customHeight="1" thickTop="1"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</row>
    <row r="21" spans="1:38" ht="15.75">
      <c r="A21" s="81">
        <v>1</v>
      </c>
      <c r="B21" s="81" t="s">
        <v>15</v>
      </c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3"/>
      <c r="N21" s="66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</row>
    <row r="22" spans="2:38" ht="15.75">
      <c r="B22" s="2"/>
      <c r="C22" s="1" t="s">
        <v>53</v>
      </c>
      <c r="D22" s="1"/>
      <c r="E22" s="1"/>
      <c r="F22" t="s">
        <v>51</v>
      </c>
      <c r="G22" s="1" t="str">
        <f>CONCATENATE(Datos!I4,IF(Datos!I4=1," año, "," años, "),Datos!J4,IF(Datos!J4=1," mes, "," meses, "),ROUND(Datos!K4,0),IF(ROUND(Datos!K4,0)=1," día. "," días."))</f>
        <v>0 años, 3 meses, 0 días.</v>
      </c>
      <c r="H22" s="1"/>
      <c r="I22" s="1"/>
      <c r="J22" s="1"/>
      <c r="K22" s="1"/>
      <c r="L22" s="1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</row>
    <row r="23" spans="2:38" ht="15.75">
      <c r="B23" s="2"/>
      <c r="C23" s="32" t="s">
        <v>32</v>
      </c>
      <c r="D23" s="1"/>
      <c r="E23" s="1"/>
      <c r="F23" t="s">
        <v>51</v>
      </c>
      <c r="G23" s="1" t="str">
        <f>CONCATENATE(Datos!G4,IF(Datos!G4=1," día."," días."))</f>
        <v> días.</v>
      </c>
      <c r="H23" s="1"/>
      <c r="I23" s="1"/>
      <c r="J23" s="1"/>
      <c r="K23" s="1"/>
      <c r="L23" s="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spans="2:15" ht="15.75">
      <c r="B24" s="1"/>
      <c r="C24" s="32" t="s">
        <v>54</v>
      </c>
      <c r="D24" s="1"/>
      <c r="E24" s="1"/>
      <c r="F24" t="s">
        <v>51</v>
      </c>
      <c r="G24" s="1" t="str">
        <f>CONCATENATE(Datos!L4,IF(Datos!L4=1," año, "," años, "),Datos!M4,IF(Datos!M4=1," mes, "," meses, "),ROUND(Datos!N4,0),IF(ROUND(Datos!N47,0)=1," día. "," días."))</f>
        <v>0 años, 3 meses, 0 días.</v>
      </c>
      <c r="H24" s="1"/>
      <c r="I24" s="1"/>
      <c r="J24" s="1"/>
      <c r="K24" s="1"/>
      <c r="L24" s="1"/>
      <c r="O24" s="8"/>
    </row>
    <row r="25" spans="2:15" ht="15.75">
      <c r="B25" s="1"/>
      <c r="C25" s="32" t="str">
        <f>IF(Datos!E4&gt;0,CONCATENATE("Del   ",TEXT(Datos!E4,"dd/mmmm/yyyy"),"   al   ",TEXT(Datos!B8,"dd/mmmm/yyyy")),"")</f>
        <v>Del   09/enero/2014   al   08/abril/2014</v>
      </c>
      <c r="D25" s="1"/>
      <c r="E25" s="1"/>
      <c r="F25" s="1"/>
      <c r="G25" s="1"/>
      <c r="H25" s="1"/>
      <c r="I25" s="1"/>
      <c r="J25" s="1"/>
      <c r="K25" s="1"/>
      <c r="L25" s="1"/>
      <c r="O25" s="8"/>
    </row>
    <row r="26" spans="2:12" ht="15.75">
      <c r="B26" s="1"/>
      <c r="E26" s="1" t="s">
        <v>26</v>
      </c>
      <c r="F26" t="s">
        <v>51</v>
      </c>
      <c r="G26" s="1" t="str">
        <f>CONCATENATE(TEXT(E19,"##,##0.00"),"  /  12  x  ",Datos!M4)</f>
        <v>2,083.33  /  12  x  3</v>
      </c>
      <c r="I26" t="s">
        <v>51</v>
      </c>
      <c r="J26" s="11">
        <f>IF(E19&gt;0,(E19/12)*Datos!M4,0)</f>
        <v>520.8325</v>
      </c>
      <c r="K26" s="1"/>
      <c r="L26" s="1"/>
    </row>
    <row r="27" spans="2:12" ht="15.75">
      <c r="B27" s="1"/>
      <c r="E27" s="1" t="s">
        <v>27</v>
      </c>
      <c r="F27" t="s">
        <v>51</v>
      </c>
      <c r="G27" s="1" t="str">
        <f>CONCATENATE(TEXT(E19,"##,##0.00"),"  /  12  /  30  x  ",INT(Datos!N4))</f>
        <v>2,083.33  /  12  /  30  x  0</v>
      </c>
      <c r="H27" s="1"/>
      <c r="I27" t="s">
        <v>51</v>
      </c>
      <c r="J27" s="21">
        <f>IF(E19&gt;0,((E19/12)/30)*Datos!N4,0)</f>
        <v>0</v>
      </c>
      <c r="K27" s="1"/>
      <c r="L27" s="1"/>
    </row>
    <row r="28" spans="2:12" ht="15.75">
      <c r="B28" s="1"/>
      <c r="E28" s="1" t="s">
        <v>44</v>
      </c>
      <c r="F28" s="1"/>
      <c r="G28" s="1"/>
      <c r="H28" s="1"/>
      <c r="I28" s="1"/>
      <c r="J28" s="20">
        <f>SUM(J26:J27)</f>
        <v>520.8325</v>
      </c>
      <c r="K28" s="1"/>
      <c r="L28" s="1"/>
    </row>
    <row r="29" spans="2:12" ht="6.75" customHeight="1">
      <c r="B29" s="1"/>
      <c r="E29" s="1"/>
      <c r="F29" s="1"/>
      <c r="G29" s="1"/>
      <c r="H29" s="1"/>
      <c r="I29" s="1"/>
      <c r="J29" s="20"/>
      <c r="K29" s="1"/>
      <c r="L29" s="1"/>
    </row>
    <row r="30" spans="1:14" ht="15.75">
      <c r="A30" s="81">
        <v>2</v>
      </c>
      <c r="B30" s="81" t="s">
        <v>16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3"/>
      <c r="N30" s="66"/>
    </row>
    <row r="31" spans="2:16" ht="15.75">
      <c r="B31" s="1"/>
      <c r="C31" s="1" t="s">
        <v>53</v>
      </c>
      <c r="D31" s="1"/>
      <c r="E31" s="1"/>
      <c r="F31" t="s">
        <v>51</v>
      </c>
      <c r="G31" s="1" t="str">
        <f>CONCATENATE(Datos!J5,IF(Datos!J5=1," mes. "," meses. "))</f>
        <v>2 meses. </v>
      </c>
      <c r="H31" s="1"/>
      <c r="I31" s="1"/>
      <c r="J31" s="1"/>
      <c r="K31" s="1"/>
      <c r="L31" s="1"/>
      <c r="P31">
        <f>YEAR(E9)</f>
        <v>2014</v>
      </c>
    </row>
    <row r="32" spans="2:16" ht="15.75">
      <c r="B32" s="1"/>
      <c r="C32" s="1" t="s">
        <v>32</v>
      </c>
      <c r="D32" s="1"/>
      <c r="E32" s="1"/>
      <c r="F32" t="s">
        <v>51</v>
      </c>
      <c r="G32" s="1" t="str">
        <f>CONCATENATE(Datos!G5,IF(Datos!G5=1," día."," días."))</f>
        <v> días.</v>
      </c>
      <c r="H32" s="1"/>
      <c r="I32" s="1"/>
      <c r="J32" s="1"/>
      <c r="K32" s="1"/>
      <c r="L32" s="1"/>
      <c r="O32" s="31">
        <f>DATEVALUE(P32)</f>
        <v>41820</v>
      </c>
      <c r="P32" s="31" t="str">
        <f>CONCATENATE("30/06/",P31)</f>
        <v>30/06/2014</v>
      </c>
    </row>
    <row r="33" spans="2:16" ht="15.75">
      <c r="B33" s="1"/>
      <c r="C33" s="1" t="s">
        <v>54</v>
      </c>
      <c r="D33" s="1"/>
      <c r="E33" s="1"/>
      <c r="F33" t="s">
        <v>51</v>
      </c>
      <c r="G33" s="1" t="str">
        <f>CONCATENATE(Datos!M5,IF(Datos!M5=1," mes. "," meses. "))</f>
        <v>2 meses. </v>
      </c>
      <c r="H33" s="1"/>
      <c r="I33" s="1"/>
      <c r="J33" s="1"/>
      <c r="K33" s="1"/>
      <c r="L33" s="1"/>
      <c r="O33" s="31">
        <f>DATEVALUE(P33)</f>
        <v>42004</v>
      </c>
      <c r="P33" s="31" t="str">
        <f>CONCATENATE("31/12/",P31)</f>
        <v>31/12/2014</v>
      </c>
    </row>
    <row r="34" spans="2:12" ht="15.75">
      <c r="B34" s="1"/>
      <c r="C34" s="1" t="str">
        <f>IF(Datos!E5&gt;0,CONCATENATE("Del   ",TEXT(Datos!E5,"dd/mmmm/yyyy"),"   al   ",TEXT(Datos!B8,"dd/mmmm/yyyy")),"")</f>
        <v>Del   09/enero/2014   al   08/abril/2014</v>
      </c>
      <c r="D34" s="1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1"/>
      <c r="E35" s="1" t="s">
        <v>26</v>
      </c>
      <c r="F35" t="s">
        <v>51</v>
      </c>
      <c r="G35" s="1" t="str">
        <f>CONCATENATE(TEXT(G19,"##,##0.00"),"  /  6  x  ",Datos!M5)</f>
        <v>1,875.00  /  6  x  2</v>
      </c>
      <c r="I35" t="s">
        <v>51</v>
      </c>
      <c r="J35" s="39">
        <f>IF(G19&gt;0,(G19/6)*Datos!M5,0)</f>
        <v>625</v>
      </c>
      <c r="K35" s="1"/>
      <c r="L35" s="1"/>
    </row>
    <row r="36" spans="2:12" ht="15.75">
      <c r="B36" s="1"/>
      <c r="C36" s="1"/>
      <c r="D36" s="1"/>
      <c r="E36" s="40" t="s">
        <v>66</v>
      </c>
      <c r="G36" s="1"/>
      <c r="I36" t="s">
        <v>51</v>
      </c>
      <c r="J36" s="41">
        <f>J35*9%</f>
        <v>56.25</v>
      </c>
      <c r="K36" s="1"/>
      <c r="L36" s="1"/>
    </row>
    <row r="37" spans="2:12" ht="15.75">
      <c r="B37" s="1"/>
      <c r="C37" s="1"/>
      <c r="D37" s="1"/>
      <c r="E37" s="1" t="s">
        <v>45</v>
      </c>
      <c r="F37" s="1"/>
      <c r="G37" s="1"/>
      <c r="H37" s="1"/>
      <c r="I37" s="1"/>
      <c r="J37" s="20">
        <f>SUM(J35:J36)</f>
        <v>681.25</v>
      </c>
      <c r="K37" s="1"/>
      <c r="L37" s="1"/>
    </row>
    <row r="38" spans="2:12" ht="6.75" customHeight="1">
      <c r="B38" s="1"/>
      <c r="C38" s="1"/>
      <c r="D38" s="1"/>
      <c r="E38" s="1"/>
      <c r="F38" s="1"/>
      <c r="G38" s="1"/>
      <c r="H38" s="1"/>
      <c r="I38" s="1"/>
      <c r="J38" s="20"/>
      <c r="K38" s="1"/>
      <c r="L38" s="1"/>
    </row>
    <row r="39" spans="1:14" ht="15.75">
      <c r="A39" s="81">
        <v>3</v>
      </c>
      <c r="B39" s="81" t="s">
        <v>17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3"/>
      <c r="N39" s="66"/>
    </row>
    <row r="40" spans="2:12" ht="15.75">
      <c r="B40" s="1"/>
      <c r="C40" s="1" t="s">
        <v>53</v>
      </c>
      <c r="D40" s="1"/>
      <c r="E40" s="1"/>
      <c r="F40" t="s">
        <v>51</v>
      </c>
      <c r="G40" s="1" t="str">
        <f>CONCATENATE(Datos!J6,IF(Datos!J6=1," mes, "," meses, "),ROUND(Datos!K6,0),IF(ROUND(Datos!K6,0)=1," día. "," días."))</f>
        <v>3 meses, 0 días.</v>
      </c>
      <c r="H40" s="1"/>
      <c r="I40" s="1"/>
      <c r="J40" s="1"/>
      <c r="K40" s="1"/>
      <c r="L40" s="1"/>
    </row>
    <row r="41" spans="2:12" ht="15.75">
      <c r="B41" s="1"/>
      <c r="C41" s="1" t="s">
        <v>32</v>
      </c>
      <c r="D41" s="1"/>
      <c r="E41" s="1"/>
      <c r="F41" t="s">
        <v>51</v>
      </c>
      <c r="G41" s="1" t="str">
        <f>CONCATENATE(Datos!G6,IF(Datos!G6=1," día."," días."))</f>
        <v> días.</v>
      </c>
      <c r="H41" s="1"/>
      <c r="I41" s="1"/>
      <c r="J41" s="1"/>
      <c r="K41" s="1"/>
      <c r="L41" s="1"/>
    </row>
    <row r="42" spans="2:12" ht="15.75">
      <c r="B42" s="1"/>
      <c r="C42" s="1" t="s">
        <v>54</v>
      </c>
      <c r="D42" s="1"/>
      <c r="E42" s="1"/>
      <c r="F42" t="s">
        <v>51</v>
      </c>
      <c r="G42" s="1" t="str">
        <f>CONCATENATE(Datos!M6,IF(Datos!M6=1," mes, "," meses, "),ROUND(Datos!N6,0),IF(ROUND(Datos!N6,0)=1," día. "," días."))</f>
        <v>3 meses, 0 días.</v>
      </c>
      <c r="H42" s="1"/>
      <c r="I42" s="1"/>
      <c r="J42" s="1"/>
      <c r="K42" s="1"/>
      <c r="L42" s="1"/>
    </row>
    <row r="43" spans="2:12" ht="15.75">
      <c r="B43" s="1"/>
      <c r="C43" s="1" t="str">
        <f>IF(Datos!E6&gt;0,CONCATENATE("Del   ",TEXT(Datos!E6,"dd/mmmm/aaaa"),"   al   ",TEXT(Datos!B8,"dd/mmmm/aaaa")),"")</f>
        <v>Del   09/enero/jueves   al   08/abril/martes</v>
      </c>
      <c r="D43" s="1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1"/>
      <c r="E44" s="1" t="s">
        <v>26</v>
      </c>
      <c r="F44" t="s">
        <v>51</v>
      </c>
      <c r="G44" s="1" t="str">
        <f>CONCATENATE(TEXT(G19,"##,##0.00"),"  /  12  x  ",Datos!M6)</f>
        <v>1,875.00  /  12  x  3</v>
      </c>
      <c r="I44" t="s">
        <v>51</v>
      </c>
      <c r="J44" s="11">
        <f>IF(G19&gt;0,(G19/12)*Datos!M6,0)</f>
        <v>468.75</v>
      </c>
      <c r="K44" s="1"/>
      <c r="L44" s="1"/>
    </row>
    <row r="45" spans="2:12" ht="15.75">
      <c r="B45" s="1"/>
      <c r="C45" s="1"/>
      <c r="D45" s="1"/>
      <c r="E45" s="1" t="s">
        <v>27</v>
      </c>
      <c r="F45" t="s">
        <v>51</v>
      </c>
      <c r="G45" s="1" t="str">
        <f>CONCATENATE(TEXT(G19,"##,##0.00"),"  /  12  /  30  x  ",Datos!N6)</f>
        <v>1,875.00  /  12  /  30  x  0</v>
      </c>
      <c r="H45" s="1"/>
      <c r="I45" t="s">
        <v>51</v>
      </c>
      <c r="J45" s="21">
        <f>IF(G19&gt;0,((G19/12)/30)*Datos!N6,0)</f>
        <v>0</v>
      </c>
      <c r="K45" s="1"/>
      <c r="L45" s="1"/>
    </row>
    <row r="46" spans="2:12" ht="15.75">
      <c r="B46" s="1"/>
      <c r="C46" s="1"/>
      <c r="D46" s="1"/>
      <c r="E46" s="1" t="s">
        <v>46</v>
      </c>
      <c r="F46" s="1"/>
      <c r="G46" s="1"/>
      <c r="H46" s="1"/>
      <c r="I46" s="1"/>
      <c r="J46" s="20">
        <f>SUM(J44:J45)</f>
        <v>468.75</v>
      </c>
      <c r="K46" s="1"/>
      <c r="L46" s="1"/>
    </row>
    <row r="47" spans="1:14" ht="6.75" customHeight="1">
      <c r="A47" s="42"/>
      <c r="B47" s="40"/>
      <c r="C47" s="40"/>
      <c r="D47" s="40"/>
      <c r="E47" s="40"/>
      <c r="F47" s="40"/>
      <c r="G47" s="40"/>
      <c r="H47" s="40"/>
      <c r="I47" s="40"/>
      <c r="J47" s="43"/>
      <c r="K47" s="40"/>
      <c r="L47" s="40"/>
      <c r="M47" s="42"/>
      <c r="N47" s="42"/>
    </row>
    <row r="48" spans="1:14" ht="15.75">
      <c r="A48" s="84">
        <v>4</v>
      </c>
      <c r="B48" s="84" t="s">
        <v>68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6"/>
      <c r="N48" s="67"/>
    </row>
    <row r="49" spans="1:14" ht="15.75">
      <c r="A49" s="42"/>
      <c r="B49" s="40"/>
      <c r="C49" s="40" t="s">
        <v>53</v>
      </c>
      <c r="D49" s="40"/>
      <c r="E49" s="40"/>
      <c r="F49" s="42" t="s">
        <v>51</v>
      </c>
      <c r="G49" s="40" t="str">
        <f>CONCATENATE(Datos!J8,IF(Datos!J8=1," mes, "," meses, "),ROUND(Datos!K8,0),IF(ROUND(Datos!K8,0)=1," día. "," días."))</f>
        <v>0 meses, 0 días.</v>
      </c>
      <c r="H49" s="40"/>
      <c r="I49" s="40"/>
      <c r="J49" s="40"/>
      <c r="K49" s="40"/>
      <c r="L49" s="40"/>
      <c r="M49" s="42"/>
      <c r="N49" s="42"/>
    </row>
    <row r="50" spans="1:14" ht="15.75">
      <c r="A50" s="42"/>
      <c r="B50" s="40"/>
      <c r="C50" s="40" t="s">
        <v>70</v>
      </c>
      <c r="D50" s="40"/>
      <c r="E50" s="40"/>
      <c r="F50" s="42" t="s">
        <v>51</v>
      </c>
      <c r="G50" s="40" t="str">
        <f>CONCATENATE(Datos!G8,IF(Datos!G8=1," día."," días."))</f>
        <v> días.</v>
      </c>
      <c r="H50" s="40"/>
      <c r="I50" s="40"/>
      <c r="J50" s="40"/>
      <c r="K50" s="40"/>
      <c r="L50" s="40"/>
      <c r="M50" s="42"/>
      <c r="N50" s="42"/>
    </row>
    <row r="51" spans="1:14" ht="15.75">
      <c r="A51" s="42"/>
      <c r="B51" s="40"/>
      <c r="C51" s="40" t="s">
        <v>54</v>
      </c>
      <c r="D51" s="40"/>
      <c r="E51" s="40"/>
      <c r="F51" s="42" t="s">
        <v>51</v>
      </c>
      <c r="G51" s="40" t="str">
        <f>CONCATENATE(Datos!M8,IF(Datos!M8=1," mes, "," meses, "),ROUND(Datos!N8,0),IF(ROUND(Datos!N8,0)=1," día. "," días."))</f>
        <v>0 meses, 0 días.</v>
      </c>
      <c r="H51" s="40"/>
      <c r="I51" s="40"/>
      <c r="J51" s="40"/>
      <c r="K51" s="40"/>
      <c r="L51" s="40"/>
      <c r="M51" s="42"/>
      <c r="N51" s="42"/>
    </row>
    <row r="52" spans="1:14" ht="15.75">
      <c r="A52" s="42"/>
      <c r="B52" s="40"/>
      <c r="C52" s="40">
        <f>IF(Datos!E8&gt;0,CONCATENATE("Del   ",TEXT(Datos!E8,"dd/mmmm/aaaa"),"   al   ",TEXT(Datos!B8,"dd/mmmm/aaaa")),"")</f>
      </c>
      <c r="D52" s="40"/>
      <c r="E52" s="40"/>
      <c r="F52" s="40"/>
      <c r="G52" s="40"/>
      <c r="H52" s="40"/>
      <c r="I52" s="40"/>
      <c r="J52" s="40"/>
      <c r="K52" s="40"/>
      <c r="L52" s="40"/>
      <c r="M52" s="42"/>
      <c r="N52" s="42"/>
    </row>
    <row r="53" spans="1:15" ht="15.75">
      <c r="A53" s="42"/>
      <c r="B53" s="40"/>
      <c r="C53" s="40"/>
      <c r="D53" s="40"/>
      <c r="E53" s="40" t="s">
        <v>26</v>
      </c>
      <c r="F53" s="42" t="s">
        <v>51</v>
      </c>
      <c r="G53" s="40" t="str">
        <f>CONCATENATE(TEXT(G19,"##,##0.00"),"  /  12  x  ",Datos!M8)</f>
        <v>1,875.00  /  12  x  0</v>
      </c>
      <c r="H53" s="42"/>
      <c r="I53" s="42" t="s">
        <v>51</v>
      </c>
      <c r="J53" s="53">
        <f>IF(G19&gt;0,(G19/12)*Datos!M8,0)</f>
        <v>0</v>
      </c>
      <c r="K53" s="40"/>
      <c r="L53" s="40"/>
      <c r="M53" s="42"/>
      <c r="N53" s="42"/>
      <c r="O53" s="42"/>
    </row>
    <row r="54" spans="1:15" ht="15.75">
      <c r="A54" s="42"/>
      <c r="B54" s="40"/>
      <c r="C54" s="40"/>
      <c r="D54" s="40"/>
      <c r="E54" s="40" t="s">
        <v>27</v>
      </c>
      <c r="F54" s="42" t="s">
        <v>51</v>
      </c>
      <c r="G54" s="40" t="str">
        <f>CONCATENATE(TEXT(G19,"##,##0.00"),"  /  12  /  30  x  ",Datos!N8)</f>
        <v>1,875.00  /  12  /  30  x  0</v>
      </c>
      <c r="H54" s="40"/>
      <c r="I54" s="42" t="s">
        <v>51</v>
      </c>
      <c r="J54" s="41">
        <f>IF(G19&gt;0,((G19/12)/30)*Datos!N8,0)</f>
        <v>0</v>
      </c>
      <c r="K54" s="40"/>
      <c r="L54" s="40"/>
      <c r="M54" s="42"/>
      <c r="N54" s="42"/>
      <c r="O54" s="42"/>
    </row>
    <row r="55" spans="1:15" ht="15.75">
      <c r="A55" s="42"/>
      <c r="B55" s="40"/>
      <c r="C55" s="40"/>
      <c r="D55" s="40"/>
      <c r="E55" s="40" t="s">
        <v>46</v>
      </c>
      <c r="F55" s="40"/>
      <c r="G55" s="40"/>
      <c r="H55" s="40"/>
      <c r="I55" s="40"/>
      <c r="J55" s="43">
        <f>SUM(J53:J54)</f>
        <v>0</v>
      </c>
      <c r="K55" s="40"/>
      <c r="L55" s="40"/>
      <c r="M55" s="42"/>
      <c r="N55" s="42"/>
      <c r="O55" s="42"/>
    </row>
    <row r="56" spans="2:12" ht="6.75" customHeight="1">
      <c r="B56" s="1"/>
      <c r="C56" s="1"/>
      <c r="D56" s="1"/>
      <c r="E56" s="1"/>
      <c r="F56" s="1"/>
      <c r="G56" s="1"/>
      <c r="H56" s="1"/>
      <c r="I56" s="1"/>
      <c r="J56" s="20"/>
      <c r="K56" s="1"/>
      <c r="L56" s="1"/>
    </row>
    <row r="57" spans="1:14" ht="15.75">
      <c r="A57" s="81">
        <v>5</v>
      </c>
      <c r="B57" s="81" t="s">
        <v>18</v>
      </c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3"/>
      <c r="N57" s="66"/>
    </row>
    <row r="58" spans="2:12" ht="15.75">
      <c r="B58" s="1"/>
      <c r="C58" s="1" t="str">
        <f>IF(E10&gt;"",CONCATENATE(E10," - ",VLOOKUP(E10,TIPOPENSION,2,0)*100,"%"),"")</f>
        <v>PROFUTURO - 13.51%</v>
      </c>
      <c r="D58" s="1"/>
      <c r="E58" s="1"/>
      <c r="F58" s="1"/>
      <c r="G58" s="1"/>
      <c r="H58" s="1"/>
      <c r="I58" s="1"/>
      <c r="J58" s="11">
        <f>(J46+J55)*VLOOKUP(E10,TIPOPENSION,2,0)</f>
        <v>63.328125</v>
      </c>
      <c r="K58" s="1"/>
      <c r="L58" s="1"/>
    </row>
    <row r="59" spans="2:12" ht="15.75">
      <c r="B59" s="1"/>
      <c r="C59" s="1" t="s">
        <v>19</v>
      </c>
      <c r="D59" s="1"/>
      <c r="E59" s="1" t="s">
        <v>48</v>
      </c>
      <c r="F59" s="1"/>
      <c r="G59" s="1"/>
      <c r="H59" s="1"/>
      <c r="I59" s="1"/>
      <c r="J59" s="11"/>
      <c r="K59" s="1"/>
      <c r="L59" s="1"/>
    </row>
    <row r="60" spans="2:12" ht="15.75">
      <c r="B60" s="1"/>
      <c r="C60" s="1"/>
      <c r="D60" s="1"/>
      <c r="E60" s="1" t="s">
        <v>48</v>
      </c>
      <c r="F60" s="1"/>
      <c r="G60" s="1"/>
      <c r="H60" s="1"/>
      <c r="I60" s="1"/>
      <c r="J60" s="21"/>
      <c r="K60" s="1"/>
      <c r="L60" s="1"/>
    </row>
    <row r="61" spans="2:12" ht="15.75">
      <c r="B61" s="1"/>
      <c r="C61" s="1"/>
      <c r="D61" s="1"/>
      <c r="E61" s="1" t="s">
        <v>47</v>
      </c>
      <c r="F61" s="1"/>
      <c r="G61" s="1"/>
      <c r="H61" s="1"/>
      <c r="I61" s="1"/>
      <c r="J61" s="20">
        <f>SUM(J58:J60)</f>
        <v>63.328125</v>
      </c>
      <c r="K61" s="1"/>
      <c r="L61" s="1"/>
    </row>
    <row r="62" spans="2:12" ht="6.75" customHeight="1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2:12" ht="16.5" thickBot="1">
      <c r="B63" s="2" t="s">
        <v>71</v>
      </c>
      <c r="C63" s="1"/>
      <c r="D63" s="1"/>
      <c r="E63" s="1"/>
      <c r="F63" s="1"/>
      <c r="G63" s="1"/>
      <c r="H63" s="1"/>
      <c r="I63" s="1"/>
      <c r="J63" s="22">
        <f>J28+J37+J46+J55-J61</f>
        <v>1607.504375</v>
      </c>
      <c r="K63" s="1"/>
      <c r="L63" s="1"/>
    </row>
    <row r="64" spans="2:12" ht="7.5" customHeight="1" thickTop="1">
      <c r="B64" s="2"/>
      <c r="C64" s="1"/>
      <c r="D64" s="1"/>
      <c r="E64" s="1"/>
      <c r="F64" s="1"/>
      <c r="G64" s="1"/>
      <c r="H64" s="1"/>
      <c r="I64" s="1"/>
      <c r="J64" s="23"/>
      <c r="K64" s="1"/>
      <c r="L64" s="1"/>
    </row>
    <row r="65" spans="2:12" ht="15.75">
      <c r="B65" s="30" t="s">
        <v>50</v>
      </c>
      <c r="C65" s="1" t="str">
        <f>IF(J63&gt;0,Num_Texto(J63),"")</f>
        <v>UN MIL SEISCIENTOS SIETE y 50/100 NUEVOS SOLES</v>
      </c>
      <c r="D65" s="1"/>
      <c r="E65" s="1"/>
      <c r="F65" s="1"/>
      <c r="G65" s="1"/>
      <c r="H65" s="1"/>
      <c r="I65" s="1"/>
      <c r="J65" s="23"/>
      <c r="K65" s="1"/>
      <c r="L65" s="1"/>
    </row>
    <row r="66" spans="2:12" ht="9" customHeight="1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4" ht="33.75" customHeight="1">
      <c r="A67" s="89" t="s">
        <v>55</v>
      </c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54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4" ht="15.75">
      <c r="A69" s="1"/>
      <c r="B69" s="1"/>
      <c r="C69" s="1"/>
      <c r="D69" s="1"/>
      <c r="E69" s="1"/>
      <c r="F69" s="1"/>
      <c r="G69" s="1"/>
      <c r="H69" s="1"/>
      <c r="I69" s="1"/>
      <c r="J69" s="29" t="s">
        <v>58</v>
      </c>
      <c r="K69" s="91">
        <f>Datos!B9</f>
        <v>41310</v>
      </c>
      <c r="L69" s="91"/>
      <c r="M69" s="91"/>
      <c r="N69" s="55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ht="12.75"/>
    <row r="73" spans="3:12" ht="12.75">
      <c r="C73" s="24"/>
      <c r="D73" s="24"/>
      <c r="E73" s="24"/>
      <c r="F73" s="24"/>
      <c r="G73" s="24"/>
      <c r="J73" s="24"/>
      <c r="K73" s="24"/>
      <c r="L73" s="24"/>
    </row>
    <row r="74" spans="3:12" ht="12.75">
      <c r="C74" s="87" t="str">
        <f>IF(E3&gt;"",E3,"")</f>
        <v>Juan Alberto Perez Nones</v>
      </c>
      <c r="D74" s="87"/>
      <c r="E74" s="87"/>
      <c r="F74" s="87"/>
      <c r="G74" s="87"/>
      <c r="J74" s="87" t="s">
        <v>56</v>
      </c>
      <c r="K74" s="87"/>
      <c r="L74" s="87"/>
    </row>
    <row r="75" spans="3:7" ht="12.75">
      <c r="C75" s="88" t="str">
        <f>CONCATENATE("DNI Nº : ",IF(E4&gt;0,E4,""))</f>
        <v>DNI Nº : 02345678</v>
      </c>
      <c r="D75" s="88"/>
      <c r="E75" s="88"/>
      <c r="F75" s="88"/>
      <c r="G75" s="88"/>
    </row>
    <row r="76" ht="12.75"/>
    <row r="77" ht="12.75"/>
    <row r="78" ht="12.75"/>
    <row r="79" ht="12.75"/>
  </sheetData>
  <sheetProtection/>
  <mergeCells count="6">
    <mergeCell ref="A1:M1"/>
    <mergeCell ref="A67:M67"/>
    <mergeCell ref="K69:M69"/>
    <mergeCell ref="C74:G74"/>
    <mergeCell ref="J74:L74"/>
    <mergeCell ref="C75:G75"/>
  </mergeCells>
  <dataValidations count="1">
    <dataValidation type="list" allowBlank="1" showInputMessage="1" showErrorMessage="1" sqref="F10">
      <formula1>PENSION</formula1>
    </dataValidation>
  </dataValidations>
  <printOptions/>
  <pageMargins left="0.7086614173228347" right="0.5118110236220472" top="0.35433070866141736" bottom="0.35433070866141736" header="0.31496062992125984" footer="0.31496062992125984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ARCHIVO EXCEL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ARCHIVO EXCEL</dc:creator>
  <cp:keywords/>
  <dc:description/>
  <cp:lastModifiedBy>ser</cp:lastModifiedBy>
  <cp:lastPrinted>2014-05-31T23:26:01Z</cp:lastPrinted>
  <dcterms:created xsi:type="dcterms:W3CDTF">2010-12-01T20:09:37Z</dcterms:created>
  <dcterms:modified xsi:type="dcterms:W3CDTF">2014-10-01T04:23:36Z</dcterms:modified>
  <cp:category/>
  <cp:version/>
  <cp:contentType/>
  <cp:contentStatus/>
</cp:coreProperties>
</file>